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（４）  計画財務係\09_奨学金\19_ふるさと定住促進補助事業\R7\01_広報\R7.5.15_市HP更新\"/>
    </mc:Choice>
  </mc:AlternateContent>
  <xr:revisionPtr revIDLastSave="0" documentId="13_ncr:1_{5E91E1FE-F26D-415F-B4AA-57585D63EB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補助金額シミュレータ" sheetId="3" r:id="rId1"/>
    <sheet name="入力例" sheetId="4" r:id="rId2"/>
    <sheet name="Sheet1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4" l="1"/>
  <c r="F23" i="4"/>
  <c r="N22" i="4" s="1"/>
  <c r="M22" i="4"/>
  <c r="L22" i="4"/>
  <c r="AC20" i="4"/>
  <c r="AC19" i="4"/>
  <c r="J19" i="4"/>
  <c r="F19" i="4"/>
  <c r="N18" i="4" s="1"/>
  <c r="AE18" i="4"/>
  <c r="AC18" i="4"/>
  <c r="M18" i="4"/>
  <c r="L18" i="4"/>
  <c r="AE17" i="4"/>
  <c r="AC17" i="4"/>
  <c r="AE16" i="4"/>
  <c r="AC16" i="4"/>
  <c r="AE15" i="4"/>
  <c r="AC15" i="4"/>
  <c r="AE14" i="4"/>
  <c r="AC14" i="4"/>
  <c r="J14" i="4"/>
  <c r="F14" i="4"/>
  <c r="AE13" i="4"/>
  <c r="AC13" i="4"/>
  <c r="M13" i="4"/>
  <c r="L13" i="4"/>
  <c r="AE12" i="4"/>
  <c r="AC12" i="4"/>
  <c r="AE11" i="4"/>
  <c r="AC11" i="4"/>
  <c r="AE10" i="4"/>
  <c r="AC10" i="4"/>
  <c r="AE9" i="4"/>
  <c r="AC9" i="4"/>
  <c r="J14" i="3"/>
  <c r="L13" i="3"/>
  <c r="L22" i="3"/>
  <c r="L18" i="3"/>
  <c r="M22" i="3"/>
  <c r="J23" i="3"/>
  <c r="J19" i="3"/>
  <c r="M18" i="3"/>
  <c r="M13" i="3"/>
  <c r="AC9" i="3"/>
  <c r="AE9" i="3"/>
  <c r="AC10" i="3"/>
  <c r="AE10" i="3"/>
  <c r="F23" i="3" s="1"/>
  <c r="AC11" i="3"/>
  <c r="AE11" i="3"/>
  <c r="AC12" i="3"/>
  <c r="AE12" i="3"/>
  <c r="AC13" i="3"/>
  <c r="AE13" i="3"/>
  <c r="AC14" i="3"/>
  <c r="AE14" i="3"/>
  <c r="AC15" i="3"/>
  <c r="AE15" i="3"/>
  <c r="AC16" i="3"/>
  <c r="AE16" i="3"/>
  <c r="AC20" i="3"/>
  <c r="AC19" i="3"/>
  <c r="AE18" i="3"/>
  <c r="AC18" i="3"/>
  <c r="AE17" i="3"/>
  <c r="AC17" i="3"/>
  <c r="N24" i="1"/>
  <c r="J13" i="1"/>
  <c r="F13" i="1"/>
  <c r="J32" i="1"/>
  <c r="F28" i="1"/>
  <c r="F32" i="1"/>
  <c r="AC9" i="1"/>
  <c r="AC10" i="1"/>
  <c r="AC11" i="1"/>
  <c r="AC12" i="1"/>
  <c r="AC13" i="1"/>
  <c r="AC14" i="1"/>
  <c r="AC15" i="1"/>
  <c r="AC16" i="1"/>
  <c r="AC17" i="1"/>
  <c r="AC8" i="1"/>
  <c r="N8" i="1"/>
  <c r="J28" i="1"/>
  <c r="N20" i="1"/>
  <c r="N30" i="1"/>
  <c r="AA19" i="1"/>
  <c r="AA18" i="1"/>
  <c r="AA17" i="1"/>
  <c r="AA16" i="1"/>
  <c r="AA15" i="1"/>
  <c r="AA14" i="1"/>
  <c r="AA13" i="1"/>
  <c r="AA12" i="1"/>
  <c r="AA11" i="1"/>
  <c r="AA10" i="1"/>
  <c r="AA8" i="1"/>
  <c r="AA9" i="1"/>
  <c r="N13" i="1"/>
  <c r="R10" i="1"/>
  <c r="R28" i="1"/>
  <c r="T25" i="1"/>
  <c r="O18" i="4" l="1"/>
  <c r="N13" i="4"/>
  <c r="O13" i="4" s="1"/>
  <c r="O22" i="4"/>
  <c r="F14" i="3"/>
  <c r="N13" i="3" s="1"/>
  <c r="O13" i="3" s="1"/>
  <c r="F19" i="3"/>
  <c r="N18" i="3" s="1"/>
  <c r="O18" i="3" s="1"/>
  <c r="N22" i="3"/>
  <c r="O22" i="3" s="1"/>
  <c r="P16" i="4" l="1"/>
  <c r="P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24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日本学生支援機構の「入学時特別増額貸与奨学金（一時金）」は、補助対象外のため空欄</t>
        </r>
      </text>
    </comment>
    <comment ref="H27" authorId="0" shapeId="0" xr:uid="{7F8DF6AA-A38A-498C-B695-3B1FD284B8A3}">
      <text>
        <r>
          <rPr>
            <sz val="11"/>
            <color indexed="81"/>
            <rFont val="MS P ゴシック"/>
            <family val="3"/>
            <charset val="128"/>
          </rPr>
          <t>半期分は０．５</t>
        </r>
      </text>
    </comment>
    <comment ref="J27" authorId="0" shapeId="0" xr:uid="{00000000-0006-0000-0000-000005000000}">
      <text>
        <r>
          <rPr>
            <sz val="11"/>
            <color indexed="81"/>
            <rFont val="MS P ゴシック"/>
            <family val="3"/>
            <charset val="128"/>
          </rPr>
          <t>日本学生支援機構の「入学時特別増額貸与奨学金（一時金）」は、補助対象外のため「準備金なし」を選択</t>
        </r>
      </text>
    </comment>
  </commentList>
</comments>
</file>

<file path=xl/sharedStrings.xml><?xml version="1.0" encoding="utf-8"?>
<sst xmlns="http://schemas.openxmlformats.org/spreadsheetml/2006/main" count="242" uniqueCount="80">
  <si>
    <t>×</t>
    <phoneticPr fontId="1"/>
  </si>
  <si>
    <t>=</t>
    <phoneticPr fontId="1"/>
  </si>
  <si>
    <t>=</t>
    <phoneticPr fontId="1"/>
  </si>
  <si>
    <t>補助額①</t>
    <rPh sb="0" eb="2">
      <t>ホジョ</t>
    </rPh>
    <rPh sb="2" eb="3">
      <t>ガク</t>
    </rPh>
    <phoneticPr fontId="1"/>
  </si>
  <si>
    <t>私立短大・自宅</t>
    <rPh sb="0" eb="2">
      <t>シリツ</t>
    </rPh>
    <rPh sb="2" eb="4">
      <t>タンダイ</t>
    </rPh>
    <rPh sb="5" eb="7">
      <t>ジタク</t>
    </rPh>
    <phoneticPr fontId="1"/>
  </si>
  <si>
    <t>私立短大・自宅外</t>
    <rPh sb="0" eb="2">
      <t>シリツ</t>
    </rPh>
    <rPh sb="2" eb="4">
      <t>タンダイ</t>
    </rPh>
    <rPh sb="5" eb="8">
      <t>ジタクガイ</t>
    </rPh>
    <phoneticPr fontId="1"/>
  </si>
  <si>
    <t>国公立専門・自宅</t>
    <rPh sb="0" eb="3">
      <t>コッコウリツ</t>
    </rPh>
    <rPh sb="3" eb="5">
      <t>センモン</t>
    </rPh>
    <rPh sb="6" eb="8">
      <t>ジタク</t>
    </rPh>
    <phoneticPr fontId="1"/>
  </si>
  <si>
    <t>国公立専門・自宅外</t>
    <rPh sb="0" eb="3">
      <t>コッコウリツ</t>
    </rPh>
    <rPh sb="3" eb="5">
      <t>センモン</t>
    </rPh>
    <rPh sb="6" eb="8">
      <t>ジタク</t>
    </rPh>
    <rPh sb="8" eb="9">
      <t>ガイ</t>
    </rPh>
    <phoneticPr fontId="1"/>
  </si>
  <si>
    <t>私立専門・自宅</t>
    <rPh sb="0" eb="2">
      <t>シリツ</t>
    </rPh>
    <rPh sb="2" eb="4">
      <t>センモン</t>
    </rPh>
    <rPh sb="5" eb="7">
      <t>ジタク</t>
    </rPh>
    <phoneticPr fontId="1"/>
  </si>
  <si>
    <t>私立専門・自宅外</t>
    <rPh sb="0" eb="2">
      <t>シリツ</t>
    </rPh>
    <rPh sb="2" eb="4">
      <t>センモン</t>
    </rPh>
    <rPh sb="5" eb="7">
      <t>ジタク</t>
    </rPh>
    <rPh sb="7" eb="8">
      <t>ガイ</t>
    </rPh>
    <phoneticPr fontId="1"/>
  </si>
  <si>
    <t>金額</t>
    <rPh sb="0" eb="2">
      <t>キンガク</t>
    </rPh>
    <phoneticPr fontId="1"/>
  </si>
  <si>
    <t>補助額②</t>
    <rPh sb="0" eb="2">
      <t>ホジョ</t>
    </rPh>
    <rPh sb="2" eb="3">
      <t>ガク</t>
    </rPh>
    <phoneticPr fontId="1"/>
  </si>
  <si>
    <t>算定額a</t>
    <rPh sb="0" eb="2">
      <t>サンテイ</t>
    </rPh>
    <rPh sb="2" eb="3">
      <t>ガク</t>
    </rPh>
    <phoneticPr fontId="1"/>
  </si>
  <si>
    <t>算定額b</t>
    <rPh sb="0" eb="2">
      <t>サンテイ</t>
    </rPh>
    <rPh sb="2" eb="3">
      <t>ガク</t>
    </rPh>
    <phoneticPr fontId="1"/>
  </si>
  <si>
    <t>入学準備金</t>
    <rPh sb="0" eb="2">
      <t>ニュウガク</t>
    </rPh>
    <rPh sb="2" eb="4">
      <t>ジュンビ</t>
    </rPh>
    <rPh sb="4" eb="5">
      <t>キン</t>
    </rPh>
    <phoneticPr fontId="1"/>
  </si>
  <si>
    <t>区分②</t>
    <rPh sb="0" eb="2">
      <t>クブン</t>
    </rPh>
    <phoneticPr fontId="1"/>
  </si>
  <si>
    <t>準備金なし</t>
    <rPh sb="0" eb="2">
      <t>ジュンビ</t>
    </rPh>
    <rPh sb="2" eb="3">
      <t>キン</t>
    </rPh>
    <phoneticPr fontId="1"/>
  </si>
  <si>
    <t>+</t>
    <phoneticPr fontId="1"/>
  </si>
  <si>
    <t>+</t>
    <phoneticPr fontId="1"/>
  </si>
  <si>
    <t>対象期間(対象月/12)</t>
    <rPh sb="0" eb="2">
      <t>タイショウ</t>
    </rPh>
    <rPh sb="2" eb="4">
      <t>キカン</t>
    </rPh>
    <rPh sb="5" eb="7">
      <t>タイショウ</t>
    </rPh>
    <rPh sb="7" eb="8">
      <t>ツキ</t>
    </rPh>
    <phoneticPr fontId="1"/>
  </si>
  <si>
    <t>=</t>
    <phoneticPr fontId="1"/>
  </si>
  <si>
    <t>=</t>
    <phoneticPr fontId="1"/>
  </si>
  <si>
    <t>補助額②</t>
    <rPh sb="0" eb="2">
      <t>ホジョ</t>
    </rPh>
    <rPh sb="2" eb="3">
      <t>ガク</t>
    </rPh>
    <phoneticPr fontId="1"/>
  </si>
  <si>
    <t>準備金あり、私立短大</t>
    <rPh sb="6" eb="8">
      <t>シリツ</t>
    </rPh>
    <rPh sb="8" eb="10">
      <t>タンダイ</t>
    </rPh>
    <phoneticPr fontId="1"/>
  </si>
  <si>
    <t>準備金あり、国公立専門</t>
    <rPh sb="6" eb="9">
      <t>コッコウリツ</t>
    </rPh>
    <rPh sb="9" eb="11">
      <t>センモン</t>
    </rPh>
    <phoneticPr fontId="1"/>
  </si>
  <si>
    <t>準備金あり、私立専門</t>
    <rPh sb="6" eb="8">
      <t>シリツ</t>
    </rPh>
    <rPh sb="8" eb="10">
      <t>センモン</t>
    </rPh>
    <phoneticPr fontId="1"/>
  </si>
  <si>
    <t>【奨学金返還支援補助】補助金額シミュレータ</t>
    <rPh sb="1" eb="4">
      <t>ショウガクキン</t>
    </rPh>
    <rPh sb="4" eb="6">
      <t>ヘンカン</t>
    </rPh>
    <rPh sb="6" eb="8">
      <t>シエン</t>
    </rPh>
    <rPh sb="8" eb="10">
      <t>ホジョ</t>
    </rPh>
    <rPh sb="11" eb="13">
      <t>ホジョ</t>
    </rPh>
    <rPh sb="13" eb="14">
      <t>キン</t>
    </rPh>
    <rPh sb="14" eb="15">
      <t>ガク</t>
    </rPh>
    <phoneticPr fontId="1"/>
  </si>
  <si>
    <t>国公立大学（大学院、短大含む）・自宅</t>
    <rPh sb="0" eb="3">
      <t>コッコウリツ</t>
    </rPh>
    <rPh sb="3" eb="5">
      <t>ダイガク</t>
    </rPh>
    <rPh sb="6" eb="9">
      <t>ダイガクイン</t>
    </rPh>
    <rPh sb="10" eb="12">
      <t>タンダイ</t>
    </rPh>
    <rPh sb="12" eb="13">
      <t>フク</t>
    </rPh>
    <rPh sb="16" eb="18">
      <t>ジタク</t>
    </rPh>
    <phoneticPr fontId="1"/>
  </si>
  <si>
    <t>国公立大学(大学院、短大含む)・自宅外</t>
    <rPh sb="0" eb="3">
      <t>コッコウリツ</t>
    </rPh>
    <rPh sb="3" eb="5">
      <t>ダイガク</t>
    </rPh>
    <rPh sb="6" eb="9">
      <t>ダイガクイン</t>
    </rPh>
    <rPh sb="10" eb="12">
      <t>タンダイ</t>
    </rPh>
    <rPh sb="12" eb="13">
      <t>フク</t>
    </rPh>
    <rPh sb="16" eb="18">
      <t>ジタク</t>
    </rPh>
    <rPh sb="18" eb="19">
      <t>ガイ</t>
    </rPh>
    <phoneticPr fontId="1"/>
  </si>
  <si>
    <t>私立大学(大学院含む)・自宅</t>
    <rPh sb="0" eb="2">
      <t>シリツ</t>
    </rPh>
    <rPh sb="2" eb="4">
      <t>ダイガク</t>
    </rPh>
    <rPh sb="5" eb="8">
      <t>ダイガクイン</t>
    </rPh>
    <rPh sb="8" eb="9">
      <t>フク</t>
    </rPh>
    <rPh sb="12" eb="14">
      <t>ジタク</t>
    </rPh>
    <phoneticPr fontId="1"/>
  </si>
  <si>
    <t>私立大学(大学院含む)・自宅外</t>
    <rPh sb="0" eb="2">
      <t>シリツ</t>
    </rPh>
    <rPh sb="2" eb="4">
      <t>ダイガク</t>
    </rPh>
    <rPh sb="5" eb="8">
      <t>ダイガクイン</t>
    </rPh>
    <rPh sb="8" eb="9">
      <t>フク</t>
    </rPh>
    <rPh sb="12" eb="14">
      <t>ジタク</t>
    </rPh>
    <rPh sb="14" eb="15">
      <t>ガイ</t>
    </rPh>
    <phoneticPr fontId="1"/>
  </si>
  <si>
    <t>準備金あり、国公立大学(大学院、短大含む)</t>
    <rPh sb="0" eb="2">
      <t>ジュンビ</t>
    </rPh>
    <rPh sb="2" eb="3">
      <t>キン</t>
    </rPh>
    <rPh sb="6" eb="9">
      <t>コッコウリツ</t>
    </rPh>
    <rPh sb="9" eb="11">
      <t>ダイガク</t>
    </rPh>
    <rPh sb="12" eb="15">
      <t>ダイガクイン</t>
    </rPh>
    <rPh sb="16" eb="18">
      <t>タンダイ</t>
    </rPh>
    <rPh sb="18" eb="19">
      <t>フク</t>
    </rPh>
    <phoneticPr fontId="1"/>
  </si>
  <si>
    <t>準備金あり、私立大学(大学院含む)</t>
    <rPh sb="6" eb="8">
      <t>シリツ</t>
    </rPh>
    <rPh sb="8" eb="10">
      <t>ダイガク</t>
    </rPh>
    <rPh sb="11" eb="14">
      <t>ダイガクイン</t>
    </rPh>
    <rPh sb="14" eb="15">
      <t>フク</t>
    </rPh>
    <phoneticPr fontId="1"/>
  </si>
  <si>
    <t>（限度額142,100円）</t>
  </si>
  <si>
    <t>（限度額142,100円）</t>
    <rPh sb="1" eb="4">
      <t>ゲンドガク</t>
    </rPh>
    <rPh sb="11" eb="12">
      <t>エン</t>
    </rPh>
    <phoneticPr fontId="1"/>
  </si>
  <si>
    <t>＋</t>
    <phoneticPr fontId="1"/>
  </si>
  <si>
    <t>年返還額②(1月～12月)</t>
    <rPh sb="0" eb="4">
      <t>ネンヘンカンガク</t>
    </rPh>
    <rPh sb="7" eb="8">
      <t>ガツ</t>
    </rPh>
    <rPh sb="11" eb="12">
      <t>ガツ</t>
    </rPh>
    <phoneticPr fontId="1"/>
  </si>
  <si>
    <t>年返還額(1月～12月のうち補助対象期間中)</t>
    <rPh sb="0" eb="1">
      <t>ネン</t>
    </rPh>
    <rPh sb="1" eb="3">
      <t>ヘンカン</t>
    </rPh>
    <rPh sb="3" eb="4">
      <t>ガク</t>
    </rPh>
    <rPh sb="6" eb="7">
      <t>ガツ</t>
    </rPh>
    <rPh sb="10" eb="11">
      <t>ガツ</t>
    </rPh>
    <rPh sb="14" eb="20">
      <t>ホジョタイショウキカン</t>
    </rPh>
    <rPh sb="20" eb="21">
      <t>チュウ</t>
    </rPh>
    <phoneticPr fontId="1"/>
  </si>
  <si>
    <t>年返還額①(1月～12月のうち補助対象期間中)</t>
    <rPh sb="0" eb="1">
      <t>ネン</t>
    </rPh>
    <rPh sb="1" eb="3">
      <t>ヘンカン</t>
    </rPh>
    <rPh sb="3" eb="4">
      <t>ガク</t>
    </rPh>
    <rPh sb="7" eb="8">
      <t>ガツ</t>
    </rPh>
    <rPh sb="11" eb="12">
      <t>ガツ</t>
    </rPh>
    <rPh sb="15" eb="21">
      <t>ホジョタイショウキカン</t>
    </rPh>
    <rPh sb="21" eb="22">
      <t>チュウ</t>
    </rPh>
    <phoneticPr fontId="1"/>
  </si>
  <si>
    <t>借用金額②(年額)(以下、選択)</t>
    <rPh sb="0" eb="2">
      <t>シャクヨウ</t>
    </rPh>
    <rPh sb="2" eb="3">
      <t>キン</t>
    </rPh>
    <phoneticPr fontId="1"/>
  </si>
  <si>
    <t>貸与年数②(以下、選択)</t>
    <rPh sb="0" eb="2">
      <t>タイヨ</t>
    </rPh>
    <rPh sb="2" eb="4">
      <t>ネンスウ</t>
    </rPh>
    <phoneticPr fontId="1"/>
  </si>
  <si>
    <t>入学準備金②(以下、選択)</t>
    <rPh sb="0" eb="2">
      <t>ニュウガク</t>
    </rPh>
    <rPh sb="2" eb="4">
      <t>ジュンビ</t>
    </rPh>
    <rPh sb="4" eb="5">
      <t>キン</t>
    </rPh>
    <phoneticPr fontId="1"/>
  </si>
  <si>
    <t>借用金額(年額)（以下、選択）</t>
    <rPh sb="0" eb="2">
      <t>シャクヨウ</t>
    </rPh>
    <rPh sb="2" eb="4">
      <t>キンガク</t>
    </rPh>
    <rPh sb="5" eb="7">
      <t>ネンガク</t>
    </rPh>
    <rPh sb="9" eb="11">
      <t>イカ</t>
    </rPh>
    <rPh sb="12" eb="14">
      <t>センタク</t>
    </rPh>
    <phoneticPr fontId="1"/>
  </si>
  <si>
    <t>貸与年数（以下、選択）</t>
    <rPh sb="0" eb="4">
      <t>タイヨネンスウ</t>
    </rPh>
    <rPh sb="5" eb="7">
      <t>イカ</t>
    </rPh>
    <rPh sb="8" eb="10">
      <t>センタク</t>
    </rPh>
    <phoneticPr fontId="1"/>
  </si>
  <si>
    <t>入学準備金（以下、選択）</t>
    <rPh sb="0" eb="2">
      <t>ニュウガク</t>
    </rPh>
    <rPh sb="2" eb="4">
      <t>ジュンビ</t>
    </rPh>
    <rPh sb="4" eb="5">
      <t>キン</t>
    </rPh>
    <rPh sb="6" eb="8">
      <t>イカ</t>
    </rPh>
    <rPh sb="9" eb="11">
      <t>センタク</t>
    </rPh>
    <phoneticPr fontId="1"/>
  </si>
  <si>
    <t>シミュレータ１
「日立市奨学金」のみ返還者はこちら</t>
    <rPh sb="9" eb="12">
      <t>ヒタチシ</t>
    </rPh>
    <rPh sb="12" eb="15">
      <t>ショウガクキン</t>
    </rPh>
    <rPh sb="18" eb="20">
      <t>ヘンカン</t>
    </rPh>
    <rPh sb="20" eb="21">
      <t>シャ</t>
    </rPh>
    <phoneticPr fontId="1"/>
  </si>
  <si>
    <t>区分③（市奨学金年額）</t>
    <rPh sb="0" eb="2">
      <t>クブン</t>
    </rPh>
    <rPh sb="4" eb="5">
      <t>シ</t>
    </rPh>
    <rPh sb="5" eb="8">
      <t>ショウガクキン</t>
    </rPh>
    <rPh sb="8" eb="10">
      <t>ネンガク</t>
    </rPh>
    <phoneticPr fontId="1"/>
  </si>
  <si>
    <t>交付申請額</t>
    <rPh sb="0" eb="4">
      <t>コウフシンセイ</t>
    </rPh>
    <rPh sb="4" eb="5">
      <t>ガク</t>
    </rPh>
    <phoneticPr fontId="1"/>
  </si>
  <si>
    <t>交付申請額</t>
    <rPh sb="0" eb="5">
      <t>コウフシンセイガク</t>
    </rPh>
    <phoneticPr fontId="1"/>
  </si>
  <si>
    <t>区分①(区分③算出基礎)</t>
    <rPh sb="0" eb="2">
      <t>クブン</t>
    </rPh>
    <rPh sb="4" eb="6">
      <t>クブン</t>
    </rPh>
    <rPh sb="7" eb="11">
      <t>サンシュツキソ</t>
    </rPh>
    <phoneticPr fontId="1"/>
  </si>
  <si>
    <t>シミュレータ２
「日本学生支援機構貸与奨学金(第一種)」
「茨城県奨学資金」
「奨学金が複数（大学＋大学院など）」
の返還者はこちら</t>
    <rPh sb="9" eb="17">
      <t>ニホンガクセイシエンキコウ</t>
    </rPh>
    <rPh sb="17" eb="19">
      <t>タイヨ</t>
    </rPh>
    <rPh sb="19" eb="22">
      <t>ショウガクキン</t>
    </rPh>
    <rPh sb="23" eb="26">
      <t>ダイイッシュ</t>
    </rPh>
    <rPh sb="30" eb="33">
      <t>イバラキケン</t>
    </rPh>
    <rPh sb="33" eb="35">
      <t>ショウガク</t>
    </rPh>
    <rPh sb="35" eb="37">
      <t>シキン</t>
    </rPh>
    <rPh sb="40" eb="43">
      <t>ショウガクキン</t>
    </rPh>
    <rPh sb="44" eb="46">
      <t>フクスウ</t>
    </rPh>
    <rPh sb="47" eb="49">
      <t>ダイガク</t>
    </rPh>
    <rPh sb="50" eb="53">
      <t>ダイガクイン</t>
    </rPh>
    <rPh sb="59" eb="61">
      <t>ヘンカン</t>
    </rPh>
    <rPh sb="61" eb="62">
      <t>シャ</t>
    </rPh>
    <phoneticPr fontId="1"/>
  </si>
  <si>
    <r>
      <t xml:space="preserve">借用金額(年額)
 </t>
    </r>
    <r>
      <rPr>
        <u/>
        <sz val="12"/>
        <color rgb="FFFF0000"/>
        <rFont val="ＭＳ ゴシック"/>
        <family val="3"/>
        <charset val="128"/>
      </rPr>
      <t>※複数の場合、合算した金額を入力</t>
    </r>
    <rPh sb="0" eb="2">
      <t>シャクヨウ</t>
    </rPh>
    <rPh sb="2" eb="4">
      <t>キンガク</t>
    </rPh>
    <rPh sb="5" eb="7">
      <t>ネンガク</t>
    </rPh>
    <rPh sb="14" eb="16">
      <t>バアイ</t>
    </rPh>
    <rPh sb="17" eb="19">
      <t>ガッサン</t>
    </rPh>
    <rPh sb="21" eb="23">
      <t>キンガク</t>
    </rPh>
    <rPh sb="24" eb="26">
      <t>ニュウリョク</t>
    </rPh>
    <phoneticPr fontId="1"/>
  </si>
  <si>
    <r>
      <t>入学一時金</t>
    </r>
    <r>
      <rPr>
        <sz val="11"/>
        <color rgb="FFFF0000"/>
        <rFont val="ＭＳ ゴシック"/>
        <family val="3"/>
        <charset val="128"/>
      </rPr>
      <t>（日本学生支援機構は対象外）</t>
    </r>
    <rPh sb="6" eb="8">
      <t>ニホン</t>
    </rPh>
    <rPh sb="8" eb="14">
      <t>ガクセイシエンキコウ</t>
    </rPh>
    <rPh sb="15" eb="18">
      <t>タイショウガイ</t>
    </rPh>
    <phoneticPr fontId="1"/>
  </si>
  <si>
    <r>
      <t xml:space="preserve">貸与年数①(以下、選択)
</t>
    </r>
    <r>
      <rPr>
        <u/>
        <sz val="12"/>
        <color rgb="FFFF0000"/>
        <rFont val="ＭＳ ゴシック"/>
        <family val="3"/>
        <charset val="128"/>
      </rPr>
      <t>※学校種・通学区分が異なる場合、合算せずに分けて入力</t>
    </r>
    <r>
      <rPr>
        <sz val="12"/>
        <color rgb="FFFF0000"/>
        <rFont val="ＭＳ ゴシック"/>
        <family val="3"/>
        <charset val="128"/>
      </rPr>
      <t>（学校種・通学区分が同じ場合は合算して入力可能。）</t>
    </r>
    <rPh sb="0" eb="2">
      <t>タイヨ</t>
    </rPh>
    <rPh sb="2" eb="4">
      <t>ネンスウ</t>
    </rPh>
    <rPh sb="14" eb="16">
      <t>ガッコウ</t>
    </rPh>
    <rPh sb="16" eb="17">
      <t>シュ</t>
    </rPh>
    <rPh sb="18" eb="22">
      <t>ツウガククブン</t>
    </rPh>
    <rPh sb="23" eb="24">
      <t>コト</t>
    </rPh>
    <rPh sb="26" eb="28">
      <t>バアイ</t>
    </rPh>
    <rPh sb="29" eb="31">
      <t>ガッサン</t>
    </rPh>
    <rPh sb="34" eb="35">
      <t>ワ</t>
    </rPh>
    <rPh sb="37" eb="39">
      <t>ニュウリョク</t>
    </rPh>
    <rPh sb="40" eb="42">
      <t>ガッコウ</t>
    </rPh>
    <rPh sb="42" eb="43">
      <t>シュ</t>
    </rPh>
    <rPh sb="44" eb="48">
      <t>ツウガククブン</t>
    </rPh>
    <rPh sb="49" eb="50">
      <t>オナ</t>
    </rPh>
    <rPh sb="51" eb="53">
      <t>バアイ</t>
    </rPh>
    <rPh sb="54" eb="56">
      <t>ガッサン</t>
    </rPh>
    <rPh sb="58" eb="60">
      <t>ニュウリョク</t>
    </rPh>
    <rPh sb="60" eb="62">
      <t>カノウ</t>
    </rPh>
    <phoneticPr fontId="1"/>
  </si>
  <si>
    <r>
      <t xml:space="preserve">借用金額①(年額)(以下、選択)
</t>
    </r>
    <r>
      <rPr>
        <u/>
        <sz val="12"/>
        <color rgb="FFFF0000"/>
        <rFont val="ＭＳ ゴシック"/>
        <family val="3"/>
        <charset val="128"/>
      </rPr>
      <t>※学校種・通学区分が異なる場合、合算せずに分けて入力</t>
    </r>
    <r>
      <rPr>
        <sz val="12"/>
        <color rgb="FFFF0000"/>
        <rFont val="ＭＳ ゴシック"/>
        <family val="3"/>
        <charset val="128"/>
      </rPr>
      <t>（学校種・通学区分が同じ場合は合算して入力可能。）</t>
    </r>
    <rPh sb="0" eb="2">
      <t>シャクヨウ</t>
    </rPh>
    <rPh sb="2" eb="4">
      <t>キンガク</t>
    </rPh>
    <rPh sb="6" eb="8">
      <t>ネンガク</t>
    </rPh>
    <rPh sb="18" eb="20">
      <t>ガッコウ</t>
    </rPh>
    <rPh sb="20" eb="21">
      <t>シュ</t>
    </rPh>
    <rPh sb="22" eb="24">
      <t>ツウガク</t>
    </rPh>
    <rPh sb="24" eb="26">
      <t>クブン</t>
    </rPh>
    <rPh sb="27" eb="28">
      <t>コト</t>
    </rPh>
    <rPh sb="30" eb="32">
      <t>バアイ</t>
    </rPh>
    <rPh sb="33" eb="35">
      <t>ガッサン</t>
    </rPh>
    <rPh sb="38" eb="39">
      <t>ワ</t>
    </rPh>
    <rPh sb="41" eb="43">
      <t>ニュウリョク</t>
    </rPh>
    <rPh sb="44" eb="47">
      <t>ガッコウシュ</t>
    </rPh>
    <rPh sb="48" eb="52">
      <t>ツウガククブン</t>
    </rPh>
    <rPh sb="53" eb="54">
      <t>オナ</t>
    </rPh>
    <rPh sb="55" eb="57">
      <t>バアイ</t>
    </rPh>
    <rPh sb="58" eb="60">
      <t>ガッサン</t>
    </rPh>
    <rPh sb="62" eb="64">
      <t>ニュウリョク</t>
    </rPh>
    <rPh sb="64" eb="66">
      <t>カノウ</t>
    </rPh>
    <phoneticPr fontId="1"/>
  </si>
  <si>
    <r>
      <t xml:space="preserve">入学準備金①(以下、選択)
</t>
    </r>
    <r>
      <rPr>
        <u/>
        <sz val="12"/>
        <color rgb="FFFF0000"/>
        <rFont val="ＭＳ ゴシック"/>
        <family val="3"/>
        <charset val="128"/>
      </rPr>
      <t>※学校種・通学区分が異なる場合、合算せずに分けて入力</t>
    </r>
    <r>
      <rPr>
        <sz val="12"/>
        <color rgb="FFFF0000"/>
        <rFont val="ＭＳ ゴシック"/>
        <family val="3"/>
        <charset val="128"/>
      </rPr>
      <t>（学校種・通学区分が同じ場合は合算して入力可能。）</t>
    </r>
    <rPh sb="0" eb="2">
      <t>ニュウガク</t>
    </rPh>
    <rPh sb="2" eb="4">
      <t>ジュンビ</t>
    </rPh>
    <rPh sb="4" eb="5">
      <t>キン</t>
    </rPh>
    <rPh sb="19" eb="23">
      <t>ツウガククブン</t>
    </rPh>
    <rPh sb="38" eb="40">
      <t>ニュウリョク</t>
    </rPh>
    <rPh sb="45" eb="49">
      <t>ツウガククブン</t>
    </rPh>
    <phoneticPr fontId="1"/>
  </si>
  <si>
    <r>
      <t>・対象のシミュレータ（１or２）を選択し、黄色部分を全て入力（太枠は選択）してください。（</t>
    </r>
    <r>
      <rPr>
        <sz val="18"/>
        <color rgb="FFFF0000"/>
        <rFont val="HGP創英角ﾎﾟｯﾌﾟ体"/>
        <family val="3"/>
        <charset val="128"/>
      </rPr>
      <t>黄色は必須、水色は該当者のみ</t>
    </r>
    <r>
      <rPr>
        <sz val="18"/>
        <color theme="1"/>
        <rFont val="HGP創英角ﾎﾟｯﾌﾟ体"/>
        <family val="3"/>
        <charset val="128"/>
      </rPr>
      <t>）→交付申請額が算出されます。</t>
    </r>
    <rPh sb="1" eb="3">
      <t>タイショウ</t>
    </rPh>
    <rPh sb="17" eb="19">
      <t>センタク</t>
    </rPh>
    <rPh sb="21" eb="23">
      <t>キイロ</t>
    </rPh>
    <rPh sb="23" eb="25">
      <t>ブブン</t>
    </rPh>
    <rPh sb="26" eb="27">
      <t>スベ</t>
    </rPh>
    <rPh sb="28" eb="30">
      <t>ニュウリョク</t>
    </rPh>
    <rPh sb="31" eb="33">
      <t>フトワク</t>
    </rPh>
    <rPh sb="34" eb="36">
      <t>センタク</t>
    </rPh>
    <rPh sb="61" eb="66">
      <t>コウフシンセイガク</t>
    </rPh>
    <rPh sb="67" eb="69">
      <t>サンシュツ</t>
    </rPh>
    <phoneticPr fontId="1"/>
  </si>
  <si>
    <t>☆借用年数
※半期分は0.5</t>
    <rPh sb="1" eb="5">
      <t>シャクヨウネンスウ</t>
    </rPh>
    <rPh sb="7" eb="10">
      <t>ハンキブン</t>
    </rPh>
    <phoneticPr fontId="1"/>
  </si>
  <si>
    <t>借用金額
（返還総額）</t>
    <rPh sb="0" eb="4">
      <t>シャクヨウキンガク</t>
    </rPh>
    <rPh sb="6" eb="10">
      <t>ヘンカンソウガク</t>
    </rPh>
    <phoneticPr fontId="1"/>
  </si>
  <si>
    <t>入学準備（一時）金(選択)
※日本学生支援機構は「準備金なし」を選択</t>
    <rPh sb="0" eb="2">
      <t>ニュウガク</t>
    </rPh>
    <rPh sb="2" eb="4">
      <t>ジュンビ</t>
    </rPh>
    <rPh sb="5" eb="7">
      <t>イチジ</t>
    </rPh>
    <rPh sb="8" eb="9">
      <t>キン</t>
    </rPh>
    <rPh sb="15" eb="17">
      <t>ニホン</t>
    </rPh>
    <rPh sb="17" eb="23">
      <t>ガクセイシエンキコウ</t>
    </rPh>
    <rPh sb="25" eb="28">
      <t>ジュンビキン</t>
    </rPh>
    <rPh sb="32" eb="34">
      <t>センタク</t>
    </rPh>
    <phoneticPr fontId="1"/>
  </si>
  <si>
    <t>（２つ目）</t>
    <rPh sb="3" eb="4">
      <t>メ</t>
    </rPh>
    <phoneticPr fontId="1"/>
  </si>
  <si>
    <t>（３つ目）</t>
    <rPh sb="3" eb="4">
      <t>メ</t>
    </rPh>
    <phoneticPr fontId="1"/>
  </si>
  <si>
    <t>（１つ目）</t>
    <rPh sb="3" eb="4">
      <t>メ</t>
    </rPh>
    <phoneticPr fontId="1"/>
  </si>
  <si>
    <t>MIN</t>
    <phoneticPr fontId="1"/>
  </si>
  <si>
    <t>①</t>
    <phoneticPr fontId="1"/>
  </si>
  <si>
    <t>②</t>
    <phoneticPr fontId="1"/>
  </si>
  <si>
    <t>③</t>
    <phoneticPr fontId="1"/>
  </si>
  <si>
    <t>☆利用方法</t>
    <rPh sb="1" eb="5">
      <t>リヨウホウホウ</t>
    </rPh>
    <phoneticPr fontId="1"/>
  </si>
  <si>
    <r>
      <t>　【説明２】　複数の奨学金を返還している方は、</t>
    </r>
    <r>
      <rPr>
        <sz val="16"/>
        <color rgb="FFFF0000"/>
        <rFont val="BIZ UDPゴシック"/>
        <family val="3"/>
        <charset val="128"/>
      </rPr>
      <t>更に【２　複数奨学金返還者入力】</t>
    </r>
    <r>
      <rPr>
        <sz val="16"/>
        <color theme="1"/>
        <rFont val="BIZ UDPゴシック"/>
        <family val="3"/>
        <charset val="128"/>
      </rPr>
      <t>を埋めてください。</t>
    </r>
    <rPh sb="2" eb="4">
      <t>セツメイ</t>
    </rPh>
    <rPh sb="7" eb="9">
      <t>フクスウ</t>
    </rPh>
    <rPh sb="10" eb="13">
      <t>ショウガクキン</t>
    </rPh>
    <rPh sb="14" eb="16">
      <t>ヘンカン</t>
    </rPh>
    <rPh sb="20" eb="21">
      <t>カタ</t>
    </rPh>
    <rPh sb="23" eb="24">
      <t>サラ</t>
    </rPh>
    <rPh sb="28" eb="36">
      <t>フクスウショウガクキンヘンカンシャ</t>
    </rPh>
    <rPh sb="36" eb="38">
      <t>ニュウリョク</t>
    </rPh>
    <rPh sb="40" eb="41">
      <t>ウ</t>
    </rPh>
    <phoneticPr fontId="1"/>
  </si>
  <si>
    <t>　【説明３】　【説明１】・【説明２】の入力情報から、あなたの交付申請額が算出されます。</t>
    <rPh sb="2" eb="4">
      <t>セツメイ</t>
    </rPh>
    <rPh sb="8" eb="10">
      <t>セツメイ</t>
    </rPh>
    <rPh sb="14" eb="16">
      <t>セツメイ</t>
    </rPh>
    <rPh sb="19" eb="21">
      <t>ニュウリョク</t>
    </rPh>
    <rPh sb="21" eb="23">
      <t>ジョウホウ</t>
    </rPh>
    <rPh sb="30" eb="35">
      <t>コウフシンセイガク</t>
    </rPh>
    <rPh sb="36" eb="38">
      <t>サンシュツ</t>
    </rPh>
    <phoneticPr fontId="1"/>
  </si>
  <si>
    <t>返還額証明書の金額（返還額）</t>
    <rPh sb="0" eb="2">
      <t>ヘンカン</t>
    </rPh>
    <rPh sb="10" eb="13">
      <t>ヘンカンガク</t>
    </rPh>
    <phoneticPr fontId="1"/>
  </si>
  <si>
    <t>在学中の学校種・通学区分</t>
    <rPh sb="0" eb="3">
      <t>ザイガクチュウ</t>
    </rPh>
    <rPh sb="4" eb="6">
      <t>ガッコウ</t>
    </rPh>
    <rPh sb="6" eb="7">
      <t>シュ</t>
    </rPh>
    <rPh sb="8" eb="12">
      <t>ツウガククブン</t>
    </rPh>
    <phoneticPr fontId="1"/>
  </si>
  <si>
    <t>申請書添付書類（取得した貸与証明書、返還証明書、返還額証明書など）を参考に、該当項目を埋めてください。</t>
    <rPh sb="0" eb="7">
      <t>シンセイショテンプショルイ</t>
    </rPh>
    <rPh sb="8" eb="10">
      <t>シュトク</t>
    </rPh>
    <rPh sb="12" eb="17">
      <t>タイヨショウメイショ</t>
    </rPh>
    <rPh sb="18" eb="23">
      <t>ヘンカンショウメイショ</t>
    </rPh>
    <rPh sb="24" eb="30">
      <t>ヘンカンガクショウメイショ</t>
    </rPh>
    <rPh sb="34" eb="36">
      <t>サンコウ</t>
    </rPh>
    <rPh sb="38" eb="40">
      <t>ガイトウ</t>
    </rPh>
    <rPh sb="40" eb="42">
      <t>コウモク</t>
    </rPh>
    <rPh sb="43" eb="44">
      <t>ウ</t>
    </rPh>
    <phoneticPr fontId="1"/>
  </si>
  <si>
    <t>【２　複数奨学金返還者】「複数奨学金返還者のみ入力」の水色部分を埋めてください。</t>
    <rPh sb="3" eb="11">
      <t>フクスウショウガクキンヘンカンシャ</t>
    </rPh>
    <rPh sb="13" eb="15">
      <t>フクスウ</t>
    </rPh>
    <rPh sb="15" eb="18">
      <t>ショウガクキン</t>
    </rPh>
    <rPh sb="18" eb="20">
      <t>ヘンカン</t>
    </rPh>
    <rPh sb="20" eb="21">
      <t>シャ</t>
    </rPh>
    <rPh sb="23" eb="25">
      <t>ニュウリョク</t>
    </rPh>
    <rPh sb="26" eb="28">
      <t>ミズイロ</t>
    </rPh>
    <rPh sb="28" eb="30">
      <t>ブブン</t>
    </rPh>
    <rPh sb="31" eb="32">
      <t>ウ</t>
    </rPh>
    <phoneticPr fontId="1"/>
  </si>
  <si>
    <r>
      <t>【１　全員】「☆必須入力」</t>
    </r>
    <r>
      <rPr>
        <u/>
        <sz val="18"/>
        <rFont val="HGP創英角ﾎﾟｯﾌﾟ体"/>
        <family val="3"/>
        <charset val="128"/>
      </rPr>
      <t>の黄色部分を埋めてください。（複数奨学金返還者は合算せず、１つの奨学金を入力）</t>
    </r>
    <rPh sb="3" eb="5">
      <t>ゼンイン</t>
    </rPh>
    <rPh sb="8" eb="10">
      <t>ヒッス</t>
    </rPh>
    <rPh sb="10" eb="12">
      <t>ニュウリョク</t>
    </rPh>
    <rPh sb="14" eb="18">
      <t>キイロブブン</t>
    </rPh>
    <rPh sb="19" eb="20">
      <t>ウ</t>
    </rPh>
    <rPh sb="28" eb="30">
      <t>フクスウ</t>
    </rPh>
    <rPh sb="30" eb="33">
      <t>ショウガクキン</t>
    </rPh>
    <rPh sb="33" eb="36">
      <t>ヘンカンシャ</t>
    </rPh>
    <rPh sb="37" eb="39">
      <t>ガッサン</t>
    </rPh>
    <rPh sb="45" eb="48">
      <t>ショウガクキン</t>
    </rPh>
    <rPh sb="49" eb="51">
      <t>ニュウリョク</t>
    </rPh>
    <phoneticPr fontId="1"/>
  </si>
  <si>
    <r>
      <t>　【説明１】　１つの奨学金のみ返還している方は、</t>
    </r>
    <r>
      <rPr>
        <sz val="16"/>
        <color rgb="FFFF0000"/>
        <rFont val="BIZ UDPゴシック"/>
        <family val="3"/>
        <charset val="128"/>
      </rPr>
      <t>【１　全員】☆必須入力のみ</t>
    </r>
    <r>
      <rPr>
        <sz val="16"/>
        <rFont val="BIZ UDPゴシック"/>
        <family val="3"/>
        <charset val="128"/>
      </rPr>
      <t>埋めてください。</t>
    </r>
    <rPh sb="2" eb="4">
      <t>セツメイ</t>
    </rPh>
    <rPh sb="10" eb="13">
      <t>ショウガクキン</t>
    </rPh>
    <rPh sb="15" eb="17">
      <t>ヘンカン</t>
    </rPh>
    <rPh sb="21" eb="22">
      <t>カタ</t>
    </rPh>
    <rPh sb="27" eb="29">
      <t>ゼンイン</t>
    </rPh>
    <rPh sb="31" eb="35">
      <t>ヒッスニュウリョク</t>
    </rPh>
    <rPh sb="37" eb="38">
      <t>ウ</t>
    </rPh>
    <phoneticPr fontId="1"/>
  </si>
  <si>
    <t>　①～④のうち、いずれか低い額となります。（③日立市奨学金の額により再計算した額は、ホームページ掲載の一覧表を参照）</t>
    <rPh sb="23" eb="29">
      <t>ヒタチシショウガクキン</t>
    </rPh>
    <rPh sb="30" eb="31">
      <t>ガク</t>
    </rPh>
    <rPh sb="34" eb="35">
      <t>サイ</t>
    </rPh>
    <rPh sb="35" eb="37">
      <t>ケイサン</t>
    </rPh>
    <rPh sb="39" eb="40">
      <t>ガク</t>
    </rPh>
    <rPh sb="48" eb="50">
      <t>ケイサイ</t>
    </rPh>
    <rPh sb="51" eb="53">
      <t>イチラン</t>
    </rPh>
    <rPh sb="53" eb="54">
      <t>ヒョウ</t>
    </rPh>
    <rPh sb="55" eb="57">
      <t>サンショウ</t>
    </rPh>
    <phoneticPr fontId="1"/>
  </si>
  <si>
    <t>　※交付申請額は、①返還額の50％、②借用金額の５％、③日立市奨学金の額により再計算した額、④142,100円（限度額）の</t>
    <rPh sb="2" eb="7">
      <t>コウフシンセイガク</t>
    </rPh>
    <rPh sb="10" eb="13">
      <t>ヘンカンガク</t>
    </rPh>
    <rPh sb="19" eb="23">
      <t>シャクヨウキンガク</t>
    </rPh>
    <rPh sb="28" eb="30">
      <t>ヒタチ</t>
    </rPh>
    <rPh sb="30" eb="31">
      <t>シ</t>
    </rPh>
    <rPh sb="31" eb="34">
      <t>ショウガクキン</t>
    </rPh>
    <rPh sb="35" eb="36">
      <t>ガク</t>
    </rPh>
    <rPh sb="39" eb="40">
      <t>サイ</t>
    </rPh>
    <rPh sb="40" eb="42">
      <t>ケイサン</t>
    </rPh>
    <rPh sb="44" eb="45">
      <t>ガク</t>
    </rPh>
    <rPh sb="54" eb="55">
      <t>エン</t>
    </rPh>
    <rPh sb="56" eb="59">
      <t>ゲンドガク</t>
    </rPh>
    <phoneticPr fontId="1"/>
  </si>
  <si>
    <t>※　このシミュレータに対応しない奨学金返還者は、お問合せください。</t>
    <rPh sb="11" eb="13">
      <t>タイオウ</t>
    </rPh>
    <rPh sb="16" eb="19">
      <t>ショウガクキン</t>
    </rPh>
    <rPh sb="19" eb="21">
      <t>ヘンカン</t>
    </rPh>
    <rPh sb="21" eb="22">
      <t>シャ</t>
    </rPh>
    <rPh sb="25" eb="27">
      <t>トイアワ</t>
    </rPh>
    <phoneticPr fontId="1"/>
  </si>
  <si>
    <t xml:space="preserve">例．日立市奨学金（国立大学４年貸与、入学準備金あり、自宅外通学）→　令和7年4月～12月に返還した場合（返還期間10年）
・返還額証明書の金額（返還額）：154,350円（一月あたり17,150円返還）
・借用金額（返還総額）　　　　：2,058,000円（月額41,000円×貸与期間48ヶ月＋入学準備金90,000円）
</t>
    <rPh sb="0" eb="1">
      <t>レイ</t>
    </rPh>
    <rPh sb="2" eb="8">
      <t>ヒタチシショウガクキン</t>
    </rPh>
    <rPh sb="9" eb="13">
      <t>コクリツダイガク</t>
    </rPh>
    <rPh sb="14" eb="15">
      <t>ネン</t>
    </rPh>
    <rPh sb="15" eb="17">
      <t>タイヨ</t>
    </rPh>
    <rPh sb="18" eb="20">
      <t>ニュウガク</t>
    </rPh>
    <rPh sb="20" eb="22">
      <t>ジュンビ</t>
    </rPh>
    <rPh sb="22" eb="23">
      <t>キン</t>
    </rPh>
    <rPh sb="26" eb="31">
      <t>ジタクガイツウガク</t>
    </rPh>
    <rPh sb="34" eb="36">
      <t>レイワ</t>
    </rPh>
    <rPh sb="37" eb="38">
      <t>ネン</t>
    </rPh>
    <rPh sb="39" eb="40">
      <t>ツキ</t>
    </rPh>
    <rPh sb="43" eb="44">
      <t>ツキ</t>
    </rPh>
    <rPh sb="45" eb="47">
      <t>ヘンカン</t>
    </rPh>
    <rPh sb="49" eb="51">
      <t>バアイ</t>
    </rPh>
    <rPh sb="52" eb="56">
      <t>ヘンカンキカン</t>
    </rPh>
    <rPh sb="58" eb="59">
      <t>ネン</t>
    </rPh>
    <rPh sb="63" eb="69">
      <t>ヘンカンガクショウメイショ</t>
    </rPh>
    <rPh sb="70" eb="72">
      <t>キンガク</t>
    </rPh>
    <rPh sb="73" eb="76">
      <t>ヘンカンガク</t>
    </rPh>
    <rPh sb="85" eb="86">
      <t>エン</t>
    </rPh>
    <rPh sb="87" eb="89">
      <t>ヒトツキ</t>
    </rPh>
    <rPh sb="94" eb="99">
      <t>150エン</t>
    </rPh>
    <rPh sb="99" eb="101">
      <t>ヘンカン</t>
    </rPh>
    <rPh sb="104" eb="108">
      <t>シャクヨウキンガク</t>
    </rPh>
    <rPh sb="109" eb="113">
      <t>ヘンカンソウガク</t>
    </rPh>
    <rPh sb="128" eb="129">
      <t>エン</t>
    </rPh>
    <rPh sb="130" eb="132">
      <t>ゲツガク</t>
    </rPh>
    <rPh sb="138" eb="139">
      <t>エン</t>
    </rPh>
    <rPh sb="147" eb="148">
      <t>ゲツ</t>
    </rPh>
    <rPh sb="149" eb="154">
      <t>ニュウガクジュンビキン</t>
    </rPh>
    <rPh sb="160" eb="16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</si>
</sst>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#,##0_);[Red]\(#,##0\)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8"/>
      <color theme="1"/>
      <name val="HGP創英角ﾎﾟｯﾌﾟ体"/>
      <family val="3"/>
      <charset val="128"/>
    </font>
    <font>
      <sz val="18"/>
      <color rgb="FFFF0000"/>
      <name val="HGP創英角ﾎﾟｯﾌﾟ体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8"/>
      <color rgb="FFFF0000"/>
      <name val="HGP創英角ﾎﾟｯﾌﾟ体"/>
      <family val="3"/>
      <charset val="128"/>
    </font>
    <font>
      <sz val="28"/>
      <color theme="1"/>
      <name val="HGP創英角ﾎﾟｯﾌﾟ体"/>
      <family val="3"/>
      <charset val="128"/>
    </font>
    <font>
      <sz val="11"/>
      <color rgb="FFFF0000"/>
      <name val="HG丸ｺﾞｼｯｸM-PRO"/>
      <family val="3"/>
      <charset val="128"/>
    </font>
    <font>
      <sz val="16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u/>
      <sz val="18"/>
      <color rgb="FFFF0000"/>
      <name val="HGP創英角ﾎﾟｯﾌﾟ体"/>
      <family val="3"/>
      <charset val="128"/>
    </font>
    <font>
      <u/>
      <sz val="18"/>
      <name val="HGP創英角ﾎﾟｯﾌﾟ体"/>
      <family val="3"/>
      <charset val="128"/>
    </font>
    <font>
      <u/>
      <sz val="18"/>
      <color theme="1"/>
      <name val="HGP創英角ﾎﾟｯﾌﾟ体"/>
      <family val="3"/>
      <charset val="128"/>
    </font>
    <font>
      <sz val="18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>
      <alignment vertical="center"/>
    </xf>
    <xf numFmtId="177" fontId="3" fillId="0" borderId="1" xfId="1" applyNumberFormat="1" applyFont="1" applyBorder="1" applyProtection="1">
      <alignment vertical="center"/>
    </xf>
    <xf numFmtId="0" fontId="5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0" fontId="3" fillId="0" borderId="0" xfId="0" applyNumberFormat="1" applyFont="1" applyProtection="1">
      <alignment vertical="center"/>
    </xf>
    <xf numFmtId="176" fontId="3" fillId="0" borderId="2" xfId="0" applyNumberFormat="1" applyFont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5" fillId="0" borderId="3" xfId="0" applyFont="1" applyBorder="1" applyProtection="1">
      <alignment vertical="center"/>
    </xf>
    <xf numFmtId="176" fontId="3" fillId="0" borderId="3" xfId="0" applyNumberFormat="1" applyFont="1" applyBorder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0" borderId="0" xfId="0" applyNumberFormat="1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3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9" fillId="0" borderId="0" xfId="0" applyFont="1" applyBorder="1" applyProtection="1">
      <alignment vertical="center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</xf>
    <xf numFmtId="0" fontId="3" fillId="3" borderId="12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0" xfId="0" applyFont="1" applyBorder="1" applyProtection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177" fontId="6" fillId="0" borderId="8" xfId="0" applyNumberFormat="1" applyFont="1" applyBorder="1" applyAlignment="1" applyProtection="1">
      <alignment horizontal="right" vertical="center"/>
    </xf>
    <xf numFmtId="0" fontId="14" fillId="0" borderId="0" xfId="0" applyFont="1" applyProtection="1">
      <alignment vertical="center"/>
    </xf>
    <xf numFmtId="3" fontId="3" fillId="3" borderId="1" xfId="0" applyNumberFormat="1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3" borderId="1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horizontal="left" vertical="center" wrapText="1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vertical="center" wrapText="1" shrinkToFit="1"/>
      <protection locked="0"/>
    </xf>
    <xf numFmtId="176" fontId="3" fillId="0" borderId="0" xfId="0" applyNumberFormat="1" applyFont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41" fontId="18" fillId="0" borderId="16" xfId="0" applyNumberFormat="1" applyFont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3" fillId="0" borderId="0" xfId="0" applyFont="1" applyProtection="1">
      <alignment vertical="center"/>
    </xf>
    <xf numFmtId="0" fontId="25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26" fillId="0" borderId="0" xfId="0" applyFont="1" applyAlignment="1" applyProtection="1">
      <alignment horizontal="left" vertical="top" wrapText="1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15</xdr:row>
      <xdr:rowOff>706210</xdr:rowOff>
    </xdr:from>
    <xdr:to>
      <xdr:col>10</xdr:col>
      <xdr:colOff>408213</xdr:colOff>
      <xdr:row>23</xdr:row>
      <xdr:rowOff>122466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9450251E-DE43-4E44-8428-D5D686FC02C5}"/>
            </a:ext>
          </a:extLst>
        </xdr:cNvPr>
        <xdr:cNvSpPr/>
      </xdr:nvSpPr>
      <xdr:spPr>
        <a:xfrm>
          <a:off x="54428" y="8244567"/>
          <a:ext cx="11810999" cy="4151542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108858</xdr:colOff>
      <xdr:row>10</xdr:row>
      <xdr:rowOff>353785</xdr:rowOff>
    </xdr:from>
    <xdr:to>
      <xdr:col>10</xdr:col>
      <xdr:colOff>517073</xdr:colOff>
      <xdr:row>14</xdr:row>
      <xdr:rowOff>299357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4AF8D110-C2D7-4A09-88BF-597CC6ACD671}"/>
            </a:ext>
          </a:extLst>
        </xdr:cNvPr>
        <xdr:cNvSpPr/>
      </xdr:nvSpPr>
      <xdr:spPr>
        <a:xfrm>
          <a:off x="108858" y="5197928"/>
          <a:ext cx="11865429" cy="1578429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612322</xdr:colOff>
      <xdr:row>10</xdr:row>
      <xdr:rowOff>95249</xdr:rowOff>
    </xdr:from>
    <xdr:to>
      <xdr:col>2</xdr:col>
      <xdr:colOff>136073</xdr:colOff>
      <xdr:row>10</xdr:row>
      <xdr:rowOff>585106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0F2E262-5A9F-4D97-8B5A-19B189DE7592}"/>
            </a:ext>
          </a:extLst>
        </xdr:cNvPr>
        <xdr:cNvSpPr txBox="1"/>
      </xdr:nvSpPr>
      <xdr:spPr>
        <a:xfrm>
          <a:off x="612322" y="3673928"/>
          <a:ext cx="1918608" cy="489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☆必須入力</a:t>
          </a:r>
        </a:p>
      </xdr:txBody>
    </xdr:sp>
    <xdr:clientData/>
  </xdr:twoCellAnchor>
  <xdr:twoCellAnchor>
    <xdr:from>
      <xdr:col>0</xdr:col>
      <xdr:colOff>598714</xdr:colOff>
      <xdr:row>15</xdr:row>
      <xdr:rowOff>530678</xdr:rowOff>
    </xdr:from>
    <xdr:to>
      <xdr:col>5</xdr:col>
      <xdr:colOff>13608</xdr:colOff>
      <xdr:row>16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21CE146-0D1A-4697-AE1F-340EC3B30AE2}"/>
            </a:ext>
          </a:extLst>
        </xdr:cNvPr>
        <xdr:cNvSpPr txBox="1"/>
      </xdr:nvSpPr>
      <xdr:spPr>
        <a:xfrm>
          <a:off x="598714" y="6599464"/>
          <a:ext cx="4245430" cy="489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複数奨学金返還者のみ入力</a:t>
          </a:r>
        </a:p>
      </xdr:txBody>
    </xdr:sp>
    <xdr:clientData/>
  </xdr:twoCellAnchor>
  <xdr:twoCellAnchor>
    <xdr:from>
      <xdr:col>0</xdr:col>
      <xdr:colOff>40821</xdr:colOff>
      <xdr:row>3</xdr:row>
      <xdr:rowOff>13608</xdr:rowOff>
    </xdr:from>
    <xdr:to>
      <xdr:col>10</xdr:col>
      <xdr:colOff>258536</xdr:colOff>
      <xdr:row>8</xdr:row>
      <xdr:rowOff>40821</xdr:rowOff>
    </xdr:to>
    <xdr:sp macro="" textlink="">
      <xdr:nvSpPr>
        <xdr:cNvPr id="10" name="大かっこ 9">
          <a:extLst>
            <a:ext uri="{FF2B5EF4-FFF2-40B4-BE49-F238E27FC236}">
              <a16:creationId xmlns:a16="http://schemas.microsoft.com/office/drawing/2014/main" id="{99B9E2A5-742D-4D85-899C-E66EB237B827}"/>
            </a:ext>
          </a:extLst>
        </xdr:cNvPr>
        <xdr:cNvSpPr/>
      </xdr:nvSpPr>
      <xdr:spPr>
        <a:xfrm>
          <a:off x="40821" y="1483179"/>
          <a:ext cx="11783786" cy="2762249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15</xdr:row>
      <xdr:rowOff>706210</xdr:rowOff>
    </xdr:from>
    <xdr:to>
      <xdr:col>10</xdr:col>
      <xdr:colOff>408213</xdr:colOff>
      <xdr:row>23</xdr:row>
      <xdr:rowOff>122466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C808D9B-28BF-4888-9FF0-D130158A2149}"/>
            </a:ext>
          </a:extLst>
        </xdr:cNvPr>
        <xdr:cNvSpPr/>
      </xdr:nvSpPr>
      <xdr:spPr>
        <a:xfrm>
          <a:off x="54428" y="8240485"/>
          <a:ext cx="11793310" cy="4140656"/>
        </a:xfrm>
        <a:prstGeom prst="round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163286</xdr:colOff>
      <xdr:row>10</xdr:row>
      <xdr:rowOff>408214</xdr:rowOff>
    </xdr:from>
    <xdr:to>
      <xdr:col>10</xdr:col>
      <xdr:colOff>571501</xdr:colOff>
      <xdr:row>14</xdr:row>
      <xdr:rowOff>353786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20B6D2F-D6A0-4CD0-9A5B-8A3C8AE2DCD4}"/>
            </a:ext>
          </a:extLst>
        </xdr:cNvPr>
        <xdr:cNvSpPr/>
      </xdr:nvSpPr>
      <xdr:spPr>
        <a:xfrm>
          <a:off x="163286" y="6068785"/>
          <a:ext cx="11865429" cy="1850572"/>
        </a:xfrm>
        <a:prstGeom prst="roundRect">
          <a:avLst/>
        </a:prstGeom>
        <a:noFill/>
        <a:ln w="762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612322</xdr:colOff>
      <xdr:row>10</xdr:row>
      <xdr:rowOff>95249</xdr:rowOff>
    </xdr:from>
    <xdr:to>
      <xdr:col>2</xdr:col>
      <xdr:colOff>136073</xdr:colOff>
      <xdr:row>10</xdr:row>
      <xdr:rowOff>585106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1A22752-4551-4CA7-A000-DEFA285135B0}"/>
            </a:ext>
          </a:extLst>
        </xdr:cNvPr>
        <xdr:cNvSpPr txBox="1"/>
      </xdr:nvSpPr>
      <xdr:spPr>
        <a:xfrm>
          <a:off x="612322" y="4933949"/>
          <a:ext cx="1924051" cy="489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rgbClr val="FF0000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☆必須入力</a:t>
          </a:r>
        </a:p>
      </xdr:txBody>
    </xdr:sp>
    <xdr:clientData/>
  </xdr:twoCellAnchor>
  <xdr:twoCellAnchor>
    <xdr:from>
      <xdr:col>0</xdr:col>
      <xdr:colOff>598714</xdr:colOff>
      <xdr:row>15</xdr:row>
      <xdr:rowOff>530678</xdr:rowOff>
    </xdr:from>
    <xdr:to>
      <xdr:col>5</xdr:col>
      <xdr:colOff>13608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24FEB96-B317-4910-AF59-84942297B860}"/>
            </a:ext>
          </a:extLst>
        </xdr:cNvPr>
        <xdr:cNvSpPr txBox="1"/>
      </xdr:nvSpPr>
      <xdr:spPr>
        <a:xfrm>
          <a:off x="598714" y="8064953"/>
          <a:ext cx="4244069" cy="4884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solidFill>
                <a:schemeClr val="tx1"/>
              </a:solidFill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複数奨学金返還者のみ入力</a:t>
          </a:r>
        </a:p>
      </xdr:txBody>
    </xdr:sp>
    <xdr:clientData/>
  </xdr:twoCellAnchor>
  <xdr:twoCellAnchor>
    <xdr:from>
      <xdr:col>0</xdr:col>
      <xdr:colOff>40821</xdr:colOff>
      <xdr:row>3</xdr:row>
      <xdr:rowOff>13608</xdr:rowOff>
    </xdr:from>
    <xdr:to>
      <xdr:col>10</xdr:col>
      <xdr:colOff>258536</xdr:colOff>
      <xdr:row>8</xdr:row>
      <xdr:rowOff>40821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CCAF8C32-8974-474C-8656-3194E06CD349}"/>
            </a:ext>
          </a:extLst>
        </xdr:cNvPr>
        <xdr:cNvSpPr/>
      </xdr:nvSpPr>
      <xdr:spPr>
        <a:xfrm>
          <a:off x="40821" y="1470933"/>
          <a:ext cx="11657240" cy="2770413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7</xdr:row>
      <xdr:rowOff>47626</xdr:rowOff>
    </xdr:from>
    <xdr:to>
      <xdr:col>5</xdr:col>
      <xdr:colOff>0</xdr:colOff>
      <xdr:row>9</xdr:row>
      <xdr:rowOff>28575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638425" y="762001"/>
          <a:ext cx="1352550" cy="4667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9</xdr:row>
      <xdr:rowOff>47626</xdr:rowOff>
    </xdr:from>
    <xdr:to>
      <xdr:col>4</xdr:col>
      <xdr:colOff>1238250</xdr:colOff>
      <xdr:row>12</xdr:row>
      <xdr:rowOff>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319338" y="2833689"/>
          <a:ext cx="1919287" cy="8810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83344</xdr:colOff>
      <xdr:row>7</xdr:row>
      <xdr:rowOff>142875</xdr:rowOff>
    </xdr:from>
    <xdr:to>
      <xdr:col>16</xdr:col>
      <xdr:colOff>619125</xdr:colOff>
      <xdr:row>9</xdr:row>
      <xdr:rowOff>83344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14656594" y="2488406"/>
          <a:ext cx="1869281" cy="559594"/>
        </a:xfrm>
        <a:prstGeom prst="straightConnector1">
          <a:avLst/>
        </a:prstGeom>
        <a:ln w="444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95250</xdr:colOff>
      <xdr:row>9</xdr:row>
      <xdr:rowOff>190500</xdr:rowOff>
    </xdr:from>
    <xdr:to>
      <xdr:col>16</xdr:col>
      <xdr:colOff>619125</xdr:colOff>
      <xdr:row>12</xdr:row>
      <xdr:rowOff>166687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14668500" y="3155156"/>
          <a:ext cx="1857375" cy="904875"/>
        </a:xfrm>
        <a:prstGeom prst="straightConnector1">
          <a:avLst/>
        </a:prstGeom>
        <a:ln w="4445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19</xdr:row>
      <xdr:rowOff>95250</xdr:rowOff>
    </xdr:from>
    <xdr:to>
      <xdr:col>5</xdr:col>
      <xdr:colOff>9525</xdr:colOff>
      <xdr:row>20</xdr:row>
      <xdr:rowOff>228601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2628900" y="2971800"/>
          <a:ext cx="1371600" cy="37147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</xdr:colOff>
      <xdr:row>19</xdr:row>
      <xdr:rowOff>133350</xdr:rowOff>
    </xdr:from>
    <xdr:to>
      <xdr:col>18</xdr:col>
      <xdr:colOff>326571</xdr:colOff>
      <xdr:row>24</xdr:row>
      <xdr:rowOff>68036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18901682" y="6297386"/>
          <a:ext cx="3332389" cy="1975757"/>
        </a:xfrm>
        <a:prstGeom prst="straightConnector1">
          <a:avLst/>
        </a:prstGeom>
        <a:ln w="44450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870857</xdr:colOff>
      <xdr:row>27</xdr:row>
      <xdr:rowOff>149678</xdr:rowOff>
    </xdr:from>
    <xdr:to>
      <xdr:col>16</xdr:col>
      <xdr:colOff>571500</xdr:colOff>
      <xdr:row>29</xdr:row>
      <xdr:rowOff>2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V="1">
          <a:off x="18859500" y="9647464"/>
          <a:ext cx="1918607" cy="625931"/>
        </a:xfrm>
        <a:prstGeom prst="straightConnector1">
          <a:avLst/>
        </a:prstGeom>
        <a:ln w="317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5</xdr:col>
      <xdr:colOff>11906</xdr:colOff>
      <xdr:row>23</xdr:row>
      <xdr:rowOff>83343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2416969" y="7036594"/>
          <a:ext cx="1988343" cy="70246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19050</xdr:rowOff>
    </xdr:from>
    <xdr:to>
      <xdr:col>4</xdr:col>
      <xdr:colOff>964746</xdr:colOff>
      <xdr:row>28</xdr:row>
      <xdr:rowOff>231321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3864429" y="7108371"/>
          <a:ext cx="1768928" cy="3001736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869156</xdr:colOff>
      <xdr:row>24</xdr:row>
      <xdr:rowOff>37421</xdr:rowOff>
    </xdr:from>
    <xdr:to>
      <xdr:col>16</xdr:col>
      <xdr:colOff>517072</xdr:colOff>
      <xdr:row>27</xdr:row>
      <xdr:rowOff>13607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8857799" y="8242528"/>
          <a:ext cx="1865880" cy="1268865"/>
        </a:xfrm>
        <a:prstGeom prst="straightConnector1">
          <a:avLst/>
        </a:prstGeom>
        <a:ln w="317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866776</xdr:colOff>
      <xdr:row>24</xdr:row>
      <xdr:rowOff>503464</xdr:rowOff>
    </xdr:from>
    <xdr:to>
      <xdr:col>18</xdr:col>
      <xdr:colOff>353786</xdr:colOff>
      <xdr:row>26</xdr:row>
      <xdr:rowOff>149680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V="1">
          <a:off x="21753740" y="8708571"/>
          <a:ext cx="507546" cy="625930"/>
        </a:xfrm>
        <a:prstGeom prst="straightConnector1">
          <a:avLst/>
        </a:prstGeom>
        <a:ln w="4445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246628</xdr:colOff>
      <xdr:row>7</xdr:row>
      <xdr:rowOff>142875</xdr:rowOff>
    </xdr:from>
    <xdr:to>
      <xdr:col>4</xdr:col>
      <xdr:colOff>794316</xdr:colOff>
      <xdr:row>8</xdr:row>
      <xdr:rowOff>214313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55735" y="1258661"/>
          <a:ext cx="1228045" cy="3844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①返還額の</a:t>
          </a:r>
          <a:r>
            <a:rPr kumimoji="1" lang="en-US" altLang="ja-JP" sz="11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50%</a:t>
          </a:r>
          <a:endParaRPr kumimoji="1" lang="ja-JP" altLang="en-US" sz="1100">
            <a:solidFill>
              <a:schemeClr val="dk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3</xdr:col>
      <xdr:colOff>163286</xdr:colOff>
      <xdr:row>9</xdr:row>
      <xdr:rowOff>244929</xdr:rowOff>
    </xdr:from>
    <xdr:to>
      <xdr:col>4</xdr:col>
      <xdr:colOff>802822</xdr:colOff>
      <xdr:row>11</xdr:row>
      <xdr:rowOff>190499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272393" y="1986643"/>
          <a:ext cx="1319893" cy="340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indent="0"/>
          <a:r>
            <a:rPr kumimoji="1" lang="ja-JP" altLang="en-US" sz="11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②借用金額の</a:t>
          </a:r>
          <a:r>
            <a:rPr kumimoji="1" lang="en-US" altLang="ja-JP" sz="11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5%</a:t>
          </a:r>
          <a:endParaRPr kumimoji="1" lang="ja-JP" altLang="en-US" sz="1100">
            <a:solidFill>
              <a:schemeClr val="dk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3</xdr:col>
      <xdr:colOff>122466</xdr:colOff>
      <xdr:row>18</xdr:row>
      <xdr:rowOff>462643</xdr:rowOff>
    </xdr:from>
    <xdr:to>
      <xdr:col>4</xdr:col>
      <xdr:colOff>779010</xdr:colOff>
      <xdr:row>20</xdr:row>
      <xdr:rowOff>30616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701145" y="6123214"/>
          <a:ext cx="1336901" cy="4796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indent="0" algn="ctr"/>
          <a:r>
            <a:rPr kumimoji="1" lang="ja-JP" altLang="en-US" sz="11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①返還額の</a:t>
          </a:r>
          <a:r>
            <a:rPr kumimoji="1" lang="en-US" altLang="ja-JP" sz="11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50%</a:t>
          </a:r>
          <a:endParaRPr kumimoji="1" lang="ja-JP" altLang="en-US" sz="1100">
            <a:solidFill>
              <a:schemeClr val="dk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3</xdr:col>
      <xdr:colOff>285751</xdr:colOff>
      <xdr:row>21</xdr:row>
      <xdr:rowOff>68036</xdr:rowOff>
    </xdr:from>
    <xdr:to>
      <xdr:col>4</xdr:col>
      <xdr:colOff>911679</xdr:colOff>
      <xdr:row>22</xdr:row>
      <xdr:rowOff>258537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394858" y="5470072"/>
          <a:ext cx="1306285" cy="544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indent="0" algn="ctr"/>
          <a:r>
            <a:rPr kumimoji="1" lang="ja-JP" altLang="en-US" sz="12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②借用金額の</a:t>
          </a:r>
          <a:r>
            <a:rPr kumimoji="1" lang="en-US" altLang="ja-JP" sz="12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5%</a:t>
          </a:r>
          <a:endParaRPr kumimoji="1" lang="ja-JP" altLang="en-US" sz="1200">
            <a:solidFill>
              <a:schemeClr val="dk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1</xdr:col>
      <xdr:colOff>544287</xdr:colOff>
      <xdr:row>25</xdr:row>
      <xdr:rowOff>95250</xdr:rowOff>
    </xdr:from>
    <xdr:to>
      <xdr:col>4</xdr:col>
      <xdr:colOff>879364</xdr:colOff>
      <xdr:row>25</xdr:row>
      <xdr:rowOff>503462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11680" y="7388679"/>
          <a:ext cx="2757148" cy="408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marL="0" indent="0" algn="ctr"/>
          <a:r>
            <a:rPr kumimoji="1" lang="ja-JP" altLang="en-US" sz="1200">
              <a:solidFill>
                <a:schemeClr val="dk1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　②を日立市奨学金の額で再計算</a:t>
          </a:r>
          <a:endParaRPr kumimoji="1" lang="en-US" altLang="ja-JP" sz="1200">
            <a:solidFill>
              <a:schemeClr val="dk1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4</xdr:col>
      <xdr:colOff>962026</xdr:colOff>
      <xdr:row>17</xdr:row>
      <xdr:rowOff>122466</xdr:rowOff>
    </xdr:from>
    <xdr:to>
      <xdr:col>5</xdr:col>
      <xdr:colOff>2911929</xdr:colOff>
      <xdr:row>18</xdr:row>
      <xdr:rowOff>13609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751490" y="4150180"/>
          <a:ext cx="2916010" cy="258536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返還額証明書により証明された額を記入</a:t>
          </a:r>
        </a:p>
      </xdr:txBody>
    </xdr:sp>
    <xdr:clientData/>
  </xdr:twoCellAnchor>
  <xdr:twoCellAnchor>
    <xdr:from>
      <xdr:col>8</xdr:col>
      <xdr:colOff>489857</xdr:colOff>
      <xdr:row>18</xdr:row>
      <xdr:rowOff>27215</xdr:rowOff>
    </xdr:from>
    <xdr:to>
      <xdr:col>12</xdr:col>
      <xdr:colOff>54428</xdr:colOff>
      <xdr:row>20</xdr:row>
      <xdr:rowOff>68036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5B5C9325-D3B5-4BC2-877D-6EA7B1BF848C}"/>
            </a:ext>
          </a:extLst>
        </xdr:cNvPr>
        <xdr:cNvSpPr/>
      </xdr:nvSpPr>
      <xdr:spPr>
        <a:xfrm>
          <a:off x="11742964" y="5687786"/>
          <a:ext cx="5347607" cy="857250"/>
        </a:xfrm>
        <a:prstGeom prst="bracketPair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830036</xdr:colOff>
      <xdr:row>29</xdr:row>
      <xdr:rowOff>136071</xdr:rowOff>
    </xdr:from>
    <xdr:to>
      <xdr:col>10</xdr:col>
      <xdr:colOff>190501</xdr:colOff>
      <xdr:row>32</xdr:row>
      <xdr:rowOff>136074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F78B3833-6404-4D4A-8F77-6581C561218F}"/>
            </a:ext>
          </a:extLst>
        </xdr:cNvPr>
        <xdr:cNvSpPr/>
      </xdr:nvSpPr>
      <xdr:spPr>
        <a:xfrm>
          <a:off x="3619500" y="9266464"/>
          <a:ext cx="10259787" cy="1034146"/>
        </a:xfrm>
        <a:prstGeom prst="bracketPair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476250</xdr:colOff>
      <xdr:row>29</xdr:row>
      <xdr:rowOff>244930</xdr:rowOff>
    </xdr:from>
    <xdr:to>
      <xdr:col>4</xdr:col>
      <xdr:colOff>639536</xdr:colOff>
      <xdr:row>31</xdr:row>
      <xdr:rowOff>272143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C0CE8F-66E5-491B-8FFC-E568A1F06FE7}"/>
            </a:ext>
          </a:extLst>
        </xdr:cNvPr>
        <xdr:cNvSpPr txBox="1"/>
      </xdr:nvSpPr>
      <xdr:spPr>
        <a:xfrm>
          <a:off x="843643" y="9239251"/>
          <a:ext cx="2585357" cy="748392"/>
        </a:xfrm>
        <a:prstGeom prst="rect">
          <a:avLst/>
        </a:prstGeom>
        <a:solidFill>
          <a:schemeClr val="lt1"/>
        </a:solidFill>
        <a:ln w="635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大学＋大学院など複数の奨学金が対象で、学校種・通学区分が異なる場合、要入力（２つ目）</a:t>
          </a:r>
          <a:endParaRPr kumimoji="1" lang="en-US" altLang="ja-JP" sz="1200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489857</xdr:colOff>
      <xdr:row>29</xdr:row>
      <xdr:rowOff>394607</xdr:rowOff>
    </xdr:from>
    <xdr:to>
      <xdr:col>4</xdr:col>
      <xdr:colOff>959303</xdr:colOff>
      <xdr:row>31</xdr:row>
      <xdr:rowOff>190499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CE1207B5-8BF0-45D2-BD5B-E00C2A1E0EB6}"/>
            </a:ext>
          </a:extLst>
        </xdr:cNvPr>
        <xdr:cNvSpPr/>
      </xdr:nvSpPr>
      <xdr:spPr>
        <a:xfrm>
          <a:off x="3279321" y="9525000"/>
          <a:ext cx="469446" cy="5170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108858</xdr:colOff>
      <xdr:row>15</xdr:row>
      <xdr:rowOff>95250</xdr:rowOff>
    </xdr:from>
    <xdr:to>
      <xdr:col>9</xdr:col>
      <xdr:colOff>2340430</xdr:colOff>
      <xdr:row>17</xdr:row>
      <xdr:rowOff>122465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1D18E44-7050-45A4-A2B7-2677F9FF66C0}"/>
            </a:ext>
          </a:extLst>
        </xdr:cNvPr>
        <xdr:cNvSpPr txBox="1"/>
      </xdr:nvSpPr>
      <xdr:spPr>
        <a:xfrm>
          <a:off x="10668001" y="3497036"/>
          <a:ext cx="2231572" cy="653143"/>
        </a:xfrm>
        <a:prstGeom prst="rect">
          <a:avLst/>
        </a:prstGeom>
        <a:solidFill>
          <a:sysClr val="window" lastClr="FFFFFF"/>
        </a:solidFill>
        <a:ln w="63500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大学＋大学院など複数の奨学金対象者のみ入力（２つ目）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</xdr:txBody>
    </xdr:sp>
    <xdr:clientData/>
  </xdr:twoCellAnchor>
  <xdr:twoCellAnchor>
    <xdr:from>
      <xdr:col>9</xdr:col>
      <xdr:colOff>932088</xdr:colOff>
      <xdr:row>17</xdr:row>
      <xdr:rowOff>13610</xdr:rowOff>
    </xdr:from>
    <xdr:to>
      <xdr:col>9</xdr:col>
      <xdr:colOff>1449159</xdr:colOff>
      <xdr:row>18</xdr:row>
      <xdr:rowOff>68040</xdr:rowOff>
    </xdr:to>
    <xdr:sp macro="" textlink="">
      <xdr:nvSpPr>
        <xdr:cNvPr id="38" name="矢印: 右 37">
          <a:extLst>
            <a:ext uri="{FF2B5EF4-FFF2-40B4-BE49-F238E27FC236}">
              <a16:creationId xmlns:a16="http://schemas.microsoft.com/office/drawing/2014/main" id="{AC307125-C256-4BD5-864C-8E8E5825A73E}"/>
            </a:ext>
          </a:extLst>
        </xdr:cNvPr>
        <xdr:cNvSpPr/>
      </xdr:nvSpPr>
      <xdr:spPr>
        <a:xfrm rot="5400000">
          <a:off x="11538855" y="3993700"/>
          <a:ext cx="421823" cy="5170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BE19D-D0F6-4B0F-8AD4-C85D14209814}">
  <sheetPr>
    <pageSetUpPr fitToPage="1"/>
  </sheetPr>
  <dimension ref="A1:AE25"/>
  <sheetViews>
    <sheetView tabSelected="1" zoomScale="70" zoomScaleNormal="70" workbookViewId="0">
      <selection activeCell="B13" sqref="B13"/>
    </sheetView>
  </sheetViews>
  <sheetFormatPr defaultColWidth="9" defaultRowHeight="13.5"/>
  <cols>
    <col min="1" max="1" width="12.75" style="1" customWidth="1"/>
    <col min="2" max="2" width="18.75" style="1" customWidth="1"/>
    <col min="3" max="3" width="6.125" style="1" customWidth="1"/>
    <col min="4" max="4" width="18.5" style="1" customWidth="1"/>
    <col min="5" max="5" width="7.25" style="1" customWidth="1"/>
    <col min="6" max="6" width="26.75" style="1" customWidth="1"/>
    <col min="7" max="7" width="6" style="1" customWidth="1"/>
    <col min="8" max="8" width="16.625" style="1" customWidth="1"/>
    <col min="9" max="9" width="6" style="1" customWidth="1"/>
    <col min="10" max="10" width="31.375" style="1" customWidth="1"/>
    <col min="11" max="11" width="8" style="1" customWidth="1"/>
    <col min="12" max="12" width="10.875" style="1" hidden="1" customWidth="1"/>
    <col min="13" max="13" width="9.5" style="43" hidden="1" customWidth="1"/>
    <col min="14" max="14" width="8.875" style="1" hidden="1" customWidth="1"/>
    <col min="15" max="15" width="9.125" style="1" hidden="1" customWidth="1"/>
    <col min="16" max="16" width="28.375" style="1" customWidth="1"/>
    <col min="17" max="17" width="5.5" style="1" customWidth="1"/>
    <col min="18" max="18" width="8.25" style="1" customWidth="1"/>
    <col min="19" max="19" width="7.625" style="1" customWidth="1"/>
    <col min="20" max="20" width="13.375" style="1" customWidth="1"/>
    <col min="21" max="21" width="6.5" style="1" customWidth="1"/>
    <col min="22" max="22" width="14" style="1" customWidth="1"/>
    <col min="23" max="23" width="9" style="1"/>
    <col min="24" max="24" width="26.75" style="1" hidden="1" customWidth="1"/>
    <col min="25" max="25" width="9" style="1" hidden="1" customWidth="1"/>
    <col min="26" max="26" width="19.25" style="1" hidden="1" customWidth="1"/>
    <col min="27" max="27" width="12" style="1" hidden="1" customWidth="1"/>
    <col min="28" max="28" width="9" style="1" hidden="1" customWidth="1"/>
    <col min="29" max="29" width="10" style="1" hidden="1" customWidth="1"/>
    <col min="30" max="30" width="28" style="1" hidden="1" customWidth="1"/>
    <col min="31" max="31" width="11.125" style="1" hidden="1" customWidth="1"/>
    <col min="32" max="16384" width="9" style="1"/>
  </cols>
  <sheetData>
    <row r="1" spans="1:31" ht="38.25" customHeight="1">
      <c r="A1" s="40" t="s">
        <v>26</v>
      </c>
    </row>
    <row r="2" spans="1:31" ht="38.25" customHeight="1">
      <c r="A2" s="40" t="s">
        <v>67</v>
      </c>
      <c r="M2" s="48"/>
    </row>
    <row r="3" spans="1:31" ht="38.25" customHeight="1">
      <c r="A3" s="40" t="s">
        <v>72</v>
      </c>
      <c r="M3" s="48"/>
    </row>
    <row r="4" spans="1:31" ht="38.25" customHeight="1">
      <c r="A4" s="66" t="s">
        <v>75</v>
      </c>
      <c r="M4" s="48"/>
    </row>
    <row r="5" spans="1:31" ht="38.25" customHeight="1">
      <c r="A5" s="66" t="s">
        <v>68</v>
      </c>
      <c r="M5" s="48"/>
    </row>
    <row r="6" spans="1:31" ht="46.5" customHeight="1">
      <c r="A6" s="66" t="s">
        <v>69</v>
      </c>
      <c r="M6" s="48"/>
      <c r="X6" s="1" t="s">
        <v>49</v>
      </c>
      <c r="Y6" s="1" t="s">
        <v>10</v>
      </c>
      <c r="Z6" s="1" t="s">
        <v>15</v>
      </c>
      <c r="AA6" s="1" t="s">
        <v>14</v>
      </c>
      <c r="AB6" s="1" t="s">
        <v>19</v>
      </c>
      <c r="AD6" s="1" t="s">
        <v>46</v>
      </c>
      <c r="AE6" s="1" t="s">
        <v>10</v>
      </c>
    </row>
    <row r="7" spans="1:31" ht="46.5" customHeight="1">
      <c r="A7" s="66" t="s">
        <v>77</v>
      </c>
      <c r="M7" s="52"/>
    </row>
    <row r="8" spans="1:31" ht="46.5" customHeight="1">
      <c r="A8" s="66" t="s">
        <v>76</v>
      </c>
      <c r="M8" s="52"/>
    </row>
    <row r="9" spans="1:31" ht="42.75" customHeight="1">
      <c r="A9" s="67" t="s">
        <v>74</v>
      </c>
      <c r="B9" s="65"/>
      <c r="C9" s="65"/>
      <c r="D9" s="65"/>
      <c r="E9" s="65"/>
      <c r="F9" s="65"/>
      <c r="G9" s="65"/>
      <c r="H9" s="65"/>
      <c r="I9" s="65"/>
      <c r="J9" s="65"/>
      <c r="X9" s="6" t="s">
        <v>27</v>
      </c>
      <c r="Y9" s="7">
        <v>35000</v>
      </c>
      <c r="Z9" s="6" t="s">
        <v>16</v>
      </c>
      <c r="AA9" s="7">
        <v>0</v>
      </c>
      <c r="AB9" s="1">
        <v>12</v>
      </c>
      <c r="AC9" s="8">
        <f>12/12</f>
        <v>1</v>
      </c>
      <c r="AD9" s="6" t="s">
        <v>27</v>
      </c>
      <c r="AE9" s="7">
        <f t="shared" ref="AE9:AE18" si="0">Y9*12</f>
        <v>420000</v>
      </c>
    </row>
    <row r="10" spans="1:31" ht="7.5" customHeight="1">
      <c r="M10" s="48"/>
      <c r="X10" s="6" t="s">
        <v>28</v>
      </c>
      <c r="Y10" s="7">
        <v>41000</v>
      </c>
      <c r="Z10" s="6" t="s">
        <v>31</v>
      </c>
      <c r="AA10" s="7">
        <v>90000</v>
      </c>
      <c r="AB10" s="1">
        <v>11</v>
      </c>
      <c r="AC10" s="1">
        <f>11/12</f>
        <v>0.91666666666666663</v>
      </c>
      <c r="AD10" s="6" t="s">
        <v>28</v>
      </c>
      <c r="AE10" s="7">
        <f t="shared" si="0"/>
        <v>492000</v>
      </c>
    </row>
    <row r="11" spans="1:31" s="4" customFormat="1" ht="47.25" customHeight="1">
      <c r="A11" s="50"/>
      <c r="C11" s="50"/>
      <c r="E11" s="62"/>
      <c r="I11" s="45"/>
      <c r="K11" s="45"/>
      <c r="L11" s="16"/>
      <c r="M11" s="27"/>
      <c r="N11" s="16"/>
      <c r="O11" s="16"/>
      <c r="P11" s="45"/>
      <c r="Q11" s="45"/>
      <c r="X11" s="6" t="s">
        <v>29</v>
      </c>
      <c r="Y11" s="7">
        <v>44000</v>
      </c>
      <c r="Z11" s="6" t="s">
        <v>32</v>
      </c>
      <c r="AA11" s="7">
        <v>250000</v>
      </c>
      <c r="AB11" s="1">
        <v>10</v>
      </c>
      <c r="AC11" s="1">
        <f>10/12</f>
        <v>0.83333333333333337</v>
      </c>
      <c r="AD11" s="6" t="s">
        <v>29</v>
      </c>
      <c r="AE11" s="7">
        <f t="shared" si="0"/>
        <v>528000</v>
      </c>
    </row>
    <row r="12" spans="1:31" ht="44.25" customHeight="1" thickBot="1">
      <c r="B12" s="46" t="s">
        <v>70</v>
      </c>
      <c r="D12" s="58" t="s">
        <v>58</v>
      </c>
      <c r="F12" s="53" t="s">
        <v>71</v>
      </c>
      <c r="H12" s="57" t="s">
        <v>57</v>
      </c>
      <c r="J12" s="57" t="s">
        <v>59</v>
      </c>
      <c r="L12" s="1" t="s">
        <v>64</v>
      </c>
      <c r="M12" s="1" t="s">
        <v>65</v>
      </c>
      <c r="N12" s="1" t="s">
        <v>66</v>
      </c>
      <c r="O12" s="1" t="s">
        <v>63</v>
      </c>
      <c r="Q12" s="74"/>
      <c r="X12" s="6" t="s">
        <v>30</v>
      </c>
      <c r="Y12" s="7">
        <v>54000</v>
      </c>
      <c r="Z12" s="6" t="s">
        <v>23</v>
      </c>
      <c r="AA12" s="7">
        <v>200000</v>
      </c>
      <c r="AB12" s="1">
        <v>9</v>
      </c>
      <c r="AC12" s="8">
        <f>9/12</f>
        <v>0.75</v>
      </c>
      <c r="AD12" s="6" t="s">
        <v>30</v>
      </c>
      <c r="AE12" s="7">
        <f t="shared" si="0"/>
        <v>648000</v>
      </c>
    </row>
    <row r="13" spans="1:31" ht="37.5" customHeight="1" thickTop="1" thickBot="1">
      <c r="A13" s="56" t="s">
        <v>62</v>
      </c>
      <c r="B13" s="20"/>
      <c r="D13" s="20"/>
      <c r="F13" s="55"/>
      <c r="H13" s="59"/>
      <c r="J13" s="30" t="s">
        <v>16</v>
      </c>
      <c r="L13" s="48">
        <f>ROUNDDOWN(B13*0.5,0)</f>
        <v>0</v>
      </c>
      <c r="M13" s="43">
        <f>ROUNDDOWN(D13*0.05,-2)</f>
        <v>0</v>
      </c>
      <c r="N13" s="1" t="e">
        <f>MIN(ROUNDDOWN((F14*H13+J14)*0.05,-2),142100)</f>
        <v>#N/A</v>
      </c>
      <c r="O13" s="1" t="e">
        <f>MIN(L13,M13,N13)</f>
        <v>#N/A</v>
      </c>
      <c r="Q13" s="74"/>
      <c r="X13" s="6" t="s">
        <v>4</v>
      </c>
      <c r="Y13" s="7">
        <v>43000</v>
      </c>
      <c r="Z13" s="6" t="s">
        <v>24</v>
      </c>
      <c r="AA13" s="7">
        <v>90000</v>
      </c>
      <c r="AB13" s="1">
        <v>8</v>
      </c>
      <c r="AC13" s="1">
        <f>8/12</f>
        <v>0.66666666666666663</v>
      </c>
      <c r="AD13" s="6" t="s">
        <v>4</v>
      </c>
      <c r="AE13" s="7">
        <f t="shared" si="0"/>
        <v>516000</v>
      </c>
    </row>
    <row r="14" spans="1:31" ht="21" customHeight="1" thickBot="1">
      <c r="A14" s="50"/>
      <c r="F14" s="9" t="e">
        <f>VLOOKUP(F13,$AD$9:$AE$18,2,FALSE)</f>
        <v>#N/A</v>
      </c>
      <c r="I14" s="75"/>
      <c r="J14" s="9">
        <f>VLOOKUP(J13,$Z$9:$AA$14,2,FALSE)</f>
        <v>0</v>
      </c>
      <c r="K14" s="43"/>
      <c r="O14" s="74"/>
      <c r="X14" s="6" t="s">
        <v>5</v>
      </c>
      <c r="Y14" s="7">
        <v>50000</v>
      </c>
      <c r="Z14" s="6" t="s">
        <v>25</v>
      </c>
      <c r="AA14" s="7">
        <v>200000</v>
      </c>
      <c r="AB14" s="1">
        <v>7</v>
      </c>
      <c r="AC14" s="1">
        <f>7/12</f>
        <v>0.58333333333333337</v>
      </c>
      <c r="AD14" s="6" t="s">
        <v>5</v>
      </c>
      <c r="AE14" s="7">
        <f t="shared" si="0"/>
        <v>600000</v>
      </c>
    </row>
    <row r="15" spans="1:31" ht="62.25" customHeight="1" thickTop="1" thickBot="1">
      <c r="I15" s="75"/>
      <c r="K15" s="43"/>
      <c r="O15" s="74"/>
      <c r="P15" s="63" t="s">
        <v>48</v>
      </c>
      <c r="X15" s="6" t="s">
        <v>6</v>
      </c>
      <c r="Y15" s="7">
        <v>35000</v>
      </c>
      <c r="AA15" s="7"/>
      <c r="AB15" s="1">
        <v>6</v>
      </c>
      <c r="AC15" s="1">
        <f>6/12</f>
        <v>0.5</v>
      </c>
      <c r="AD15" s="6" t="s">
        <v>6</v>
      </c>
      <c r="AE15" s="7">
        <f t="shared" si="0"/>
        <v>420000</v>
      </c>
    </row>
    <row r="16" spans="1:31" ht="80.25" customHeight="1" thickTop="1" thickBot="1">
      <c r="A16" s="68" t="s">
        <v>73</v>
      </c>
      <c r="P16" s="64" t="e">
        <f>MIN(ROUNDDOWN(O13+O18+O22,-2),142100)</f>
        <v>#N/A</v>
      </c>
      <c r="X16" s="14" t="s">
        <v>7</v>
      </c>
      <c r="Y16" s="15">
        <v>41000</v>
      </c>
      <c r="Z16" s="14"/>
      <c r="AA16" s="15"/>
      <c r="AB16" s="11">
        <v>5</v>
      </c>
      <c r="AC16" s="11">
        <f>5/12</f>
        <v>0.41666666666666669</v>
      </c>
      <c r="AD16" s="14" t="s">
        <v>7</v>
      </c>
      <c r="AE16" s="7">
        <f t="shared" si="0"/>
        <v>492000</v>
      </c>
    </row>
    <row r="17" spans="1:31" ht="63" customHeight="1" thickTop="1" thickBot="1">
      <c r="A17" s="44"/>
      <c r="B17" s="46" t="s">
        <v>70</v>
      </c>
      <c r="D17" s="58" t="s">
        <v>58</v>
      </c>
      <c r="F17" s="53" t="s">
        <v>71</v>
      </c>
      <c r="H17" s="57" t="s">
        <v>57</v>
      </c>
      <c r="J17" s="57" t="s">
        <v>59</v>
      </c>
      <c r="L17" s="1" t="s">
        <v>64</v>
      </c>
      <c r="M17" s="1" t="s">
        <v>65</v>
      </c>
      <c r="N17" s="1" t="s">
        <v>66</v>
      </c>
      <c r="O17" s="1" t="s">
        <v>63</v>
      </c>
      <c r="X17" s="6" t="s">
        <v>8</v>
      </c>
      <c r="Y17" s="7">
        <v>43000</v>
      </c>
      <c r="Z17" s="6"/>
      <c r="AA17" s="7"/>
      <c r="AB17" s="1">
        <v>4</v>
      </c>
      <c r="AC17" s="1">
        <f>4/12</f>
        <v>0.33333333333333331</v>
      </c>
      <c r="AD17" s="6" t="s">
        <v>8</v>
      </c>
      <c r="AE17" s="7">
        <f t="shared" si="0"/>
        <v>516000</v>
      </c>
    </row>
    <row r="18" spans="1:31" ht="51" customHeight="1" thickTop="1" thickBot="1">
      <c r="A18" s="56" t="s">
        <v>60</v>
      </c>
      <c r="B18" s="41"/>
      <c r="D18" s="49"/>
      <c r="F18" s="60"/>
      <c r="H18" s="49"/>
      <c r="I18" s="74"/>
      <c r="J18" s="33" t="s">
        <v>16</v>
      </c>
      <c r="K18" s="42"/>
      <c r="L18" s="48">
        <f>ROUNDDOWN(B18*0.5,0)</f>
        <v>0</v>
      </c>
      <c r="M18" s="3">
        <f>ROUNDDOWN(D18*0.05,-2)</f>
        <v>0</v>
      </c>
      <c r="N18" s="1">
        <f>MIN(ROUNDDOWN((F19*H18+J19)*0.05,-2),142100)</f>
        <v>0</v>
      </c>
      <c r="O18" s="3">
        <f>MIN(L18,M18,N18)</f>
        <v>0</v>
      </c>
      <c r="X18" s="6" t="s">
        <v>9</v>
      </c>
      <c r="Y18" s="7">
        <v>50000</v>
      </c>
      <c r="Z18" s="6"/>
      <c r="AA18" s="7"/>
      <c r="AB18" s="1">
        <v>3</v>
      </c>
      <c r="AC18" s="1">
        <f>3/12</f>
        <v>0.25</v>
      </c>
      <c r="AD18" s="6" t="s">
        <v>9</v>
      </c>
      <c r="AE18" s="7">
        <f t="shared" si="0"/>
        <v>600000</v>
      </c>
    </row>
    <row r="19" spans="1:31" ht="25.5" customHeight="1" thickTop="1">
      <c r="A19" s="54"/>
      <c r="F19" s="31" t="str">
        <f>IFERROR(VLOOKUP(F18,$AD$9:$AE$18,2,FALSE),"0")</f>
        <v>0</v>
      </c>
      <c r="I19" s="74"/>
      <c r="J19" s="9">
        <f>VLOOKUP(J18,$Z$9:$AA$14,2,FALSE)</f>
        <v>0</v>
      </c>
      <c r="K19" s="42"/>
      <c r="L19" s="61"/>
      <c r="M19" s="3"/>
      <c r="N19" s="3"/>
      <c r="O19" s="3"/>
      <c r="P19" s="61"/>
      <c r="AB19" s="1">
        <v>2</v>
      </c>
      <c r="AC19" s="1">
        <f>2/12</f>
        <v>0.16666666666666666</v>
      </c>
    </row>
    <row r="20" spans="1:31" ht="25.5" customHeight="1">
      <c r="A20" s="54"/>
      <c r="F20" s="61"/>
      <c r="I20" s="47"/>
      <c r="J20" s="51"/>
      <c r="K20" s="47"/>
      <c r="M20" s="48"/>
      <c r="N20" s="47"/>
      <c r="O20" s="47"/>
      <c r="P20" s="61"/>
      <c r="AB20" s="1">
        <v>1</v>
      </c>
      <c r="AC20" s="1">
        <f>1/12</f>
        <v>8.3333333333333329E-2</v>
      </c>
    </row>
    <row r="21" spans="1:31" ht="42.75" customHeight="1" thickBot="1">
      <c r="B21" s="46" t="s">
        <v>70</v>
      </c>
      <c r="D21" s="58" t="s">
        <v>58</v>
      </c>
      <c r="F21" s="53" t="s">
        <v>71</v>
      </c>
      <c r="H21" s="57" t="s">
        <v>57</v>
      </c>
      <c r="J21" s="57" t="s">
        <v>59</v>
      </c>
      <c r="L21" s="1" t="s">
        <v>64</v>
      </c>
      <c r="M21" s="1" t="s">
        <v>65</v>
      </c>
      <c r="N21" s="1" t="s">
        <v>66</v>
      </c>
      <c r="O21" s="1" t="s">
        <v>63</v>
      </c>
    </row>
    <row r="22" spans="1:31" ht="59.25" customHeight="1" thickTop="1" thickBot="1">
      <c r="A22" s="56" t="s">
        <v>61</v>
      </c>
      <c r="B22" s="49"/>
      <c r="D22" s="49"/>
      <c r="F22" s="60"/>
      <c r="H22" s="49"/>
      <c r="J22" s="33" t="s">
        <v>16</v>
      </c>
      <c r="L22" s="48">
        <f>ROUNDDOWN(B22*0.5,0)</f>
        <v>0</v>
      </c>
      <c r="M22" s="3">
        <f>ROUNDDOWN(D22*0.05,-2)</f>
        <v>0</v>
      </c>
      <c r="N22" s="1">
        <f>MIN(ROUNDDOWN((F23*H22+J23)*0.05,-2),142100)</f>
        <v>0</v>
      </c>
      <c r="O22" s="1">
        <f>MIN(L22,M22,N22)</f>
        <v>0</v>
      </c>
    </row>
    <row r="23" spans="1:31" ht="24.95" customHeight="1" thickTop="1">
      <c r="A23" s="56"/>
      <c r="F23" s="31" t="str">
        <f>IFERROR(VLOOKUP(F22,$AD$9:$AE$18,2,FALSE),"0")</f>
        <v>0</v>
      </c>
      <c r="G23" s="74"/>
      <c r="I23" s="74"/>
      <c r="J23" s="9">
        <f>VLOOKUP(J22,$Z$9:$AA$14,2,FALSE)</f>
        <v>0</v>
      </c>
      <c r="K23" s="42"/>
      <c r="M23" s="75"/>
      <c r="N23" s="74"/>
    </row>
    <row r="24" spans="1:31" ht="32.25" customHeight="1">
      <c r="G24" s="74"/>
      <c r="I24" s="74"/>
      <c r="K24" s="42"/>
      <c r="M24" s="75"/>
      <c r="N24" s="74"/>
      <c r="T24" s="61"/>
    </row>
    <row r="25" spans="1:31" ht="32.25" customHeight="1">
      <c r="A25" s="66" t="s">
        <v>78</v>
      </c>
      <c r="H25" s="42"/>
      <c r="M25" s="48"/>
      <c r="N25" s="47"/>
      <c r="O25" s="47"/>
      <c r="P25" s="16"/>
    </row>
  </sheetData>
  <sheetProtection sheet="1" selectLockedCells="1"/>
  <mergeCells count="8">
    <mergeCell ref="Q12:Q13"/>
    <mergeCell ref="I14:I15"/>
    <mergeCell ref="O14:O15"/>
    <mergeCell ref="I18:I19"/>
    <mergeCell ref="G23:G24"/>
    <mergeCell ref="I23:I24"/>
    <mergeCell ref="M23:M24"/>
    <mergeCell ref="N23:N24"/>
  </mergeCells>
  <phoneticPr fontId="1"/>
  <dataValidations count="4">
    <dataValidation type="list" allowBlank="1" showInputMessage="1" showErrorMessage="1" sqref="H13 H18 H22" xr:uid="{AAEE421E-F4CC-4279-AE26-A95E00B76CCF}">
      <formula1>"0.5,1,1.5,2,2.5,3,3.5,4,4.5,5,5.5,6"</formula1>
    </dataValidation>
    <dataValidation type="list" allowBlank="1" showInputMessage="1" showErrorMessage="1" sqref="J13 J22 J18" xr:uid="{7B7CC3D6-38DA-4A38-8CF8-F63C9C96F585}">
      <formula1>$Z$9:$Z$14</formula1>
    </dataValidation>
    <dataValidation type="list" allowBlank="1" showInputMessage="1" showErrorMessage="1" sqref="F13" xr:uid="{D7DB9B28-4B46-48F4-8BC9-F17357E5BA33}">
      <formula1>$X$9:$X$18</formula1>
    </dataValidation>
    <dataValidation type="list" allowBlank="1" showInputMessage="1" showErrorMessage="1" sqref="F18 F22" xr:uid="{659615AA-74A5-4BBC-AFA2-365178FE516F}">
      <formula1>$AD$9:$AD$18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CA72-8DE7-4E69-9ED7-99808677D4A9}">
  <sheetPr>
    <tabColor rgb="FFFFFF00"/>
    <pageSetUpPr fitToPage="1"/>
  </sheetPr>
  <dimension ref="A1:AE25"/>
  <sheetViews>
    <sheetView topLeftCell="A22" zoomScale="70" zoomScaleNormal="70" workbookViewId="0">
      <selection activeCell="B22" sqref="B22"/>
    </sheetView>
  </sheetViews>
  <sheetFormatPr defaultColWidth="9" defaultRowHeight="13.5"/>
  <cols>
    <col min="1" max="1" width="12.75" style="1" customWidth="1"/>
    <col min="2" max="2" width="18.75" style="1" customWidth="1"/>
    <col min="3" max="3" width="6.125" style="1" customWidth="1"/>
    <col min="4" max="4" width="18.5" style="1" customWidth="1"/>
    <col min="5" max="5" width="7.25" style="1" customWidth="1"/>
    <col min="6" max="6" width="26.75" style="1" customWidth="1"/>
    <col min="7" max="7" width="6" style="1" customWidth="1"/>
    <col min="8" max="8" width="16.625" style="1" customWidth="1"/>
    <col min="9" max="9" width="6" style="1" customWidth="1"/>
    <col min="10" max="10" width="31.375" style="1" customWidth="1"/>
    <col min="11" max="11" width="8" style="1" customWidth="1"/>
    <col min="12" max="12" width="10.875" style="1" hidden="1" customWidth="1"/>
    <col min="13" max="13" width="9.5" style="70" hidden="1" customWidth="1"/>
    <col min="14" max="14" width="8.875" style="1" hidden="1" customWidth="1"/>
    <col min="15" max="15" width="9.125" style="1" hidden="1" customWidth="1"/>
    <col min="16" max="16" width="28.375" style="1" customWidth="1"/>
    <col min="17" max="17" width="5.5" style="1" customWidth="1"/>
    <col min="18" max="18" width="8.25" style="1" customWidth="1"/>
    <col min="19" max="19" width="7.625" style="1" customWidth="1"/>
    <col min="20" max="20" width="13.375" style="1" customWidth="1"/>
    <col min="21" max="21" width="6.5" style="1" customWidth="1"/>
    <col min="22" max="22" width="14" style="1" customWidth="1"/>
    <col min="23" max="23" width="9" style="1"/>
    <col min="24" max="24" width="26.75" style="1" hidden="1" customWidth="1"/>
    <col min="25" max="25" width="9" style="1" hidden="1" customWidth="1"/>
    <col min="26" max="26" width="19.25" style="1" hidden="1" customWidth="1"/>
    <col min="27" max="27" width="12" style="1" hidden="1" customWidth="1"/>
    <col min="28" max="28" width="9" style="1" hidden="1" customWidth="1"/>
    <col min="29" max="29" width="10" style="1" hidden="1" customWidth="1"/>
    <col min="30" max="30" width="28" style="1" hidden="1" customWidth="1"/>
    <col min="31" max="31" width="11.125" style="1" hidden="1" customWidth="1"/>
    <col min="32" max="16384" width="9" style="1"/>
  </cols>
  <sheetData>
    <row r="1" spans="1:31" ht="38.25" customHeight="1">
      <c r="A1" s="40" t="s">
        <v>26</v>
      </c>
    </row>
    <row r="2" spans="1:31" ht="38.25" customHeight="1">
      <c r="A2" s="40" t="s">
        <v>67</v>
      </c>
    </row>
    <row r="3" spans="1:31" ht="38.25" customHeight="1">
      <c r="A3" s="40" t="s">
        <v>72</v>
      </c>
    </row>
    <row r="4" spans="1:31" ht="38.25" customHeight="1">
      <c r="A4" s="66" t="s">
        <v>75</v>
      </c>
    </row>
    <row r="5" spans="1:31" ht="38.25" customHeight="1">
      <c r="A5" s="66" t="s">
        <v>68</v>
      </c>
    </row>
    <row r="6" spans="1:31" ht="46.5" customHeight="1">
      <c r="A6" s="66" t="s">
        <v>69</v>
      </c>
      <c r="X6" s="1" t="s">
        <v>49</v>
      </c>
      <c r="Y6" s="1" t="s">
        <v>10</v>
      </c>
      <c r="Z6" s="1" t="s">
        <v>15</v>
      </c>
      <c r="AA6" s="1" t="s">
        <v>14</v>
      </c>
      <c r="AB6" s="1" t="s">
        <v>19</v>
      </c>
      <c r="AD6" s="1" t="s">
        <v>46</v>
      </c>
      <c r="AE6" s="1" t="s">
        <v>10</v>
      </c>
    </row>
    <row r="7" spans="1:31" ht="46.5" customHeight="1">
      <c r="A7" s="66" t="s">
        <v>77</v>
      </c>
    </row>
    <row r="8" spans="1:31" ht="46.5" customHeight="1">
      <c r="A8" s="66" t="s">
        <v>76</v>
      </c>
    </row>
    <row r="9" spans="1:31" ht="42.75" customHeight="1">
      <c r="A9" s="67" t="s">
        <v>74</v>
      </c>
      <c r="B9" s="65"/>
      <c r="C9" s="65"/>
      <c r="D9" s="65"/>
      <c r="E9" s="65"/>
      <c r="F9" s="65"/>
      <c r="G9" s="65"/>
      <c r="H9" s="65"/>
      <c r="I9" s="65"/>
      <c r="J9" s="65"/>
      <c r="X9" s="6" t="s">
        <v>27</v>
      </c>
      <c r="Y9" s="7">
        <v>35000</v>
      </c>
      <c r="Z9" s="6" t="s">
        <v>16</v>
      </c>
      <c r="AA9" s="7">
        <v>0</v>
      </c>
      <c r="AB9" s="1">
        <v>12</v>
      </c>
      <c r="AC9" s="8">
        <f>12/12</f>
        <v>1</v>
      </c>
      <c r="AD9" s="6" t="s">
        <v>27</v>
      </c>
      <c r="AE9" s="7">
        <f t="shared" ref="AE9:AE18" si="0">Y9*12</f>
        <v>420000</v>
      </c>
    </row>
    <row r="10" spans="1:31" ht="96" customHeight="1">
      <c r="A10" s="76" t="s">
        <v>79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X10" s="6" t="s">
        <v>28</v>
      </c>
      <c r="Y10" s="7">
        <v>41000</v>
      </c>
      <c r="Z10" s="6" t="s">
        <v>31</v>
      </c>
      <c r="AA10" s="7">
        <v>90000</v>
      </c>
      <c r="AB10" s="1">
        <v>11</v>
      </c>
      <c r="AC10" s="1">
        <f>11/12</f>
        <v>0.91666666666666663</v>
      </c>
      <c r="AD10" s="6" t="s">
        <v>28</v>
      </c>
      <c r="AE10" s="7">
        <f t="shared" si="0"/>
        <v>492000</v>
      </c>
    </row>
    <row r="11" spans="1:31" s="4" customFormat="1" ht="47.25" customHeight="1">
      <c r="A11" s="50"/>
      <c r="C11" s="50"/>
      <c r="E11" s="62"/>
      <c r="I11" s="72"/>
      <c r="K11" s="72"/>
      <c r="L11" s="16"/>
      <c r="M11" s="27"/>
      <c r="N11" s="16"/>
      <c r="O11" s="16"/>
      <c r="P11" s="72"/>
      <c r="Q11" s="72"/>
      <c r="X11" s="6" t="s">
        <v>29</v>
      </c>
      <c r="Y11" s="7">
        <v>44000</v>
      </c>
      <c r="Z11" s="6" t="s">
        <v>32</v>
      </c>
      <c r="AA11" s="7">
        <v>250000</v>
      </c>
      <c r="AB11" s="1">
        <v>10</v>
      </c>
      <c r="AC11" s="1">
        <f>10/12</f>
        <v>0.83333333333333337</v>
      </c>
      <c r="AD11" s="6" t="s">
        <v>29</v>
      </c>
      <c r="AE11" s="7">
        <f t="shared" si="0"/>
        <v>528000</v>
      </c>
    </row>
    <row r="12" spans="1:31" ht="44.25" customHeight="1" thickBot="1">
      <c r="B12" s="73" t="s">
        <v>70</v>
      </c>
      <c r="D12" s="58" t="s">
        <v>58</v>
      </c>
      <c r="F12" s="73" t="s">
        <v>71</v>
      </c>
      <c r="H12" s="57" t="s">
        <v>57</v>
      </c>
      <c r="J12" s="57" t="s">
        <v>59</v>
      </c>
      <c r="L12" s="1" t="s">
        <v>64</v>
      </c>
      <c r="M12" s="1" t="s">
        <v>65</v>
      </c>
      <c r="N12" s="1" t="s">
        <v>66</v>
      </c>
      <c r="O12" s="1" t="s">
        <v>63</v>
      </c>
      <c r="Q12" s="74"/>
      <c r="X12" s="6" t="s">
        <v>30</v>
      </c>
      <c r="Y12" s="7">
        <v>54000</v>
      </c>
      <c r="Z12" s="6" t="s">
        <v>23</v>
      </c>
      <c r="AA12" s="7">
        <v>200000</v>
      </c>
      <c r="AB12" s="1">
        <v>9</v>
      </c>
      <c r="AC12" s="8">
        <f>9/12</f>
        <v>0.75</v>
      </c>
      <c r="AD12" s="6" t="s">
        <v>30</v>
      </c>
      <c r="AE12" s="7">
        <f t="shared" si="0"/>
        <v>648000</v>
      </c>
    </row>
    <row r="13" spans="1:31" ht="37.5" customHeight="1" thickTop="1" thickBot="1">
      <c r="A13" s="56" t="s">
        <v>62</v>
      </c>
      <c r="B13" s="20">
        <v>154350</v>
      </c>
      <c r="D13" s="20">
        <v>2058000</v>
      </c>
      <c r="F13" s="55" t="s">
        <v>28</v>
      </c>
      <c r="H13" s="59">
        <v>4</v>
      </c>
      <c r="J13" s="30" t="s">
        <v>31</v>
      </c>
      <c r="L13" s="70">
        <f>ROUNDDOWN(B13*0.5,0)</f>
        <v>77175</v>
      </c>
      <c r="M13" s="70">
        <f>ROUNDDOWN(D13*0.05,-2)</f>
        <v>102900</v>
      </c>
      <c r="N13" s="1">
        <f>MIN(ROUNDDOWN((F14*H13+J14)*0.05,-2),142100)</f>
        <v>102900</v>
      </c>
      <c r="O13" s="1">
        <f>MIN(L13,M13,N13)</f>
        <v>77175</v>
      </c>
      <c r="Q13" s="74"/>
      <c r="X13" s="6" t="s">
        <v>4</v>
      </c>
      <c r="Y13" s="7">
        <v>43000</v>
      </c>
      <c r="Z13" s="6" t="s">
        <v>24</v>
      </c>
      <c r="AA13" s="7">
        <v>90000</v>
      </c>
      <c r="AB13" s="1">
        <v>8</v>
      </c>
      <c r="AC13" s="1">
        <f>8/12</f>
        <v>0.66666666666666663</v>
      </c>
      <c r="AD13" s="6" t="s">
        <v>4</v>
      </c>
      <c r="AE13" s="7">
        <f t="shared" si="0"/>
        <v>516000</v>
      </c>
    </row>
    <row r="14" spans="1:31" ht="21" customHeight="1" thickBot="1">
      <c r="A14" s="50"/>
      <c r="F14" s="9">
        <f>VLOOKUP(F13,$AD$9:$AE$18,2,FALSE)</f>
        <v>492000</v>
      </c>
      <c r="I14" s="75"/>
      <c r="J14" s="9">
        <f>VLOOKUP(J13,$Z$9:$AA$14,2,FALSE)</f>
        <v>90000</v>
      </c>
      <c r="K14" s="70"/>
      <c r="O14" s="74"/>
      <c r="X14" s="6" t="s">
        <v>5</v>
      </c>
      <c r="Y14" s="7">
        <v>50000</v>
      </c>
      <c r="Z14" s="6" t="s">
        <v>25</v>
      </c>
      <c r="AA14" s="7">
        <v>200000</v>
      </c>
      <c r="AB14" s="1">
        <v>7</v>
      </c>
      <c r="AC14" s="1">
        <f>7/12</f>
        <v>0.58333333333333337</v>
      </c>
      <c r="AD14" s="6" t="s">
        <v>5</v>
      </c>
      <c r="AE14" s="7">
        <f t="shared" si="0"/>
        <v>600000</v>
      </c>
    </row>
    <row r="15" spans="1:31" ht="62.25" customHeight="1" thickTop="1" thickBot="1">
      <c r="I15" s="75"/>
      <c r="K15" s="70"/>
      <c r="O15" s="74"/>
      <c r="P15" s="63" t="s">
        <v>48</v>
      </c>
      <c r="X15" s="6" t="s">
        <v>6</v>
      </c>
      <c r="Y15" s="7">
        <v>35000</v>
      </c>
      <c r="AA15" s="7"/>
      <c r="AB15" s="1">
        <v>6</v>
      </c>
      <c r="AC15" s="1">
        <f>6/12</f>
        <v>0.5</v>
      </c>
      <c r="AD15" s="6" t="s">
        <v>6</v>
      </c>
      <c r="AE15" s="7">
        <f t="shared" si="0"/>
        <v>420000</v>
      </c>
    </row>
    <row r="16" spans="1:31" ht="80.25" customHeight="1" thickTop="1" thickBot="1">
      <c r="A16" s="68" t="s">
        <v>73</v>
      </c>
      <c r="P16" s="64">
        <f>MIN(ROUNDDOWN(O13+O18+O22,-2),142100)</f>
        <v>77100</v>
      </c>
      <c r="X16" s="14" t="s">
        <v>7</v>
      </c>
      <c r="Y16" s="15">
        <v>41000</v>
      </c>
      <c r="Z16" s="14"/>
      <c r="AA16" s="15"/>
      <c r="AB16" s="11">
        <v>5</v>
      </c>
      <c r="AC16" s="11">
        <f>5/12</f>
        <v>0.41666666666666669</v>
      </c>
      <c r="AD16" s="14" t="s">
        <v>7</v>
      </c>
      <c r="AE16" s="7">
        <f t="shared" si="0"/>
        <v>492000</v>
      </c>
    </row>
    <row r="17" spans="1:31" ht="63" customHeight="1" thickTop="1" thickBot="1">
      <c r="A17" s="71"/>
      <c r="B17" s="73" t="s">
        <v>70</v>
      </c>
      <c r="D17" s="58" t="s">
        <v>58</v>
      </c>
      <c r="F17" s="73" t="s">
        <v>71</v>
      </c>
      <c r="H17" s="57" t="s">
        <v>57</v>
      </c>
      <c r="J17" s="57" t="s">
        <v>59</v>
      </c>
      <c r="L17" s="1" t="s">
        <v>64</v>
      </c>
      <c r="M17" s="1" t="s">
        <v>65</v>
      </c>
      <c r="N17" s="1" t="s">
        <v>66</v>
      </c>
      <c r="O17" s="1" t="s">
        <v>63</v>
      </c>
      <c r="X17" s="6" t="s">
        <v>8</v>
      </c>
      <c r="Y17" s="7">
        <v>43000</v>
      </c>
      <c r="Z17" s="6"/>
      <c r="AA17" s="7"/>
      <c r="AB17" s="1">
        <v>4</v>
      </c>
      <c r="AC17" s="1">
        <f>4/12</f>
        <v>0.33333333333333331</v>
      </c>
      <c r="AD17" s="6" t="s">
        <v>8</v>
      </c>
      <c r="AE17" s="7">
        <f t="shared" si="0"/>
        <v>516000</v>
      </c>
    </row>
    <row r="18" spans="1:31" ht="51" customHeight="1" thickTop="1" thickBot="1">
      <c r="A18" s="56" t="s">
        <v>60</v>
      </c>
      <c r="B18" s="41"/>
      <c r="D18" s="49"/>
      <c r="F18" s="60"/>
      <c r="H18" s="49"/>
      <c r="I18" s="74"/>
      <c r="J18" s="33" t="s">
        <v>16</v>
      </c>
      <c r="K18" s="69"/>
      <c r="L18" s="70">
        <f>ROUNDDOWN(B18*0.5,0)</f>
        <v>0</v>
      </c>
      <c r="M18" s="3">
        <f>ROUNDDOWN(D18*0.05,-2)</f>
        <v>0</v>
      </c>
      <c r="N18" s="1">
        <f>MIN(ROUNDDOWN((F19*H18+J19)*0.05,-2),142100)</f>
        <v>0</v>
      </c>
      <c r="O18" s="3">
        <f>MIN(L18,M18,N18)</f>
        <v>0</v>
      </c>
      <c r="X18" s="6" t="s">
        <v>9</v>
      </c>
      <c r="Y18" s="7">
        <v>50000</v>
      </c>
      <c r="Z18" s="6"/>
      <c r="AA18" s="7"/>
      <c r="AB18" s="1">
        <v>3</v>
      </c>
      <c r="AC18" s="1">
        <f>3/12</f>
        <v>0.25</v>
      </c>
      <c r="AD18" s="6" t="s">
        <v>9</v>
      </c>
      <c r="AE18" s="7">
        <f t="shared" si="0"/>
        <v>600000</v>
      </c>
    </row>
    <row r="19" spans="1:31" ht="25.5" customHeight="1" thickTop="1">
      <c r="A19" s="54"/>
      <c r="F19" s="31" t="str">
        <f>IFERROR(VLOOKUP(F18,$AD$9:$AE$18,2,FALSE),"0")</f>
        <v>0</v>
      </c>
      <c r="I19" s="74"/>
      <c r="J19" s="9">
        <f>VLOOKUP(J18,$Z$9:$AA$14,2,FALSE)</f>
        <v>0</v>
      </c>
      <c r="K19" s="69"/>
      <c r="L19" s="61"/>
      <c r="M19" s="3"/>
      <c r="N19" s="3"/>
      <c r="O19" s="3"/>
      <c r="P19" s="61"/>
      <c r="AB19" s="1">
        <v>2</v>
      </c>
      <c r="AC19" s="1">
        <f>2/12</f>
        <v>0.16666666666666666</v>
      </c>
    </row>
    <row r="20" spans="1:31" ht="25.5" customHeight="1">
      <c r="A20" s="54"/>
      <c r="F20" s="61"/>
      <c r="I20" s="69"/>
      <c r="J20" s="51"/>
      <c r="K20" s="69"/>
      <c r="N20" s="69"/>
      <c r="O20" s="69"/>
      <c r="P20" s="61"/>
      <c r="AB20" s="1">
        <v>1</v>
      </c>
      <c r="AC20" s="1">
        <f>1/12</f>
        <v>8.3333333333333329E-2</v>
      </c>
    </row>
    <row r="21" spans="1:31" ht="42.75" customHeight="1" thickBot="1">
      <c r="B21" s="73" t="s">
        <v>70</v>
      </c>
      <c r="D21" s="58" t="s">
        <v>58</v>
      </c>
      <c r="F21" s="73" t="s">
        <v>71</v>
      </c>
      <c r="H21" s="57" t="s">
        <v>57</v>
      </c>
      <c r="J21" s="57" t="s">
        <v>59</v>
      </c>
      <c r="L21" s="1" t="s">
        <v>64</v>
      </c>
      <c r="M21" s="1" t="s">
        <v>65</v>
      </c>
      <c r="N21" s="1" t="s">
        <v>66</v>
      </c>
      <c r="O21" s="1" t="s">
        <v>63</v>
      </c>
    </row>
    <row r="22" spans="1:31" ht="59.25" customHeight="1" thickTop="1" thickBot="1">
      <c r="A22" s="56" t="s">
        <v>61</v>
      </c>
      <c r="B22" s="49"/>
      <c r="D22" s="49"/>
      <c r="F22" s="60"/>
      <c r="H22" s="49"/>
      <c r="J22" s="33" t="s">
        <v>16</v>
      </c>
      <c r="L22" s="70">
        <f>ROUNDDOWN(B22*0.5,0)</f>
        <v>0</v>
      </c>
      <c r="M22" s="3">
        <f>ROUNDDOWN(D22*0.05,-2)</f>
        <v>0</v>
      </c>
      <c r="N22" s="1">
        <f>MIN(ROUNDDOWN((F23*H22+J23)*0.05,-2),142100)</f>
        <v>0</v>
      </c>
      <c r="O22" s="1">
        <f>MIN(L22,M22,N22)</f>
        <v>0</v>
      </c>
    </row>
    <row r="23" spans="1:31" ht="24.95" customHeight="1" thickTop="1">
      <c r="A23" s="56"/>
      <c r="F23" s="31" t="str">
        <f>IFERROR(VLOOKUP(F22,$AD$9:$AE$18,2,FALSE),"0")</f>
        <v>0</v>
      </c>
      <c r="G23" s="74"/>
      <c r="I23" s="74"/>
      <c r="J23" s="9">
        <f>VLOOKUP(J22,$Z$9:$AA$14,2,FALSE)</f>
        <v>0</v>
      </c>
      <c r="K23" s="69"/>
      <c r="M23" s="75"/>
      <c r="N23" s="74"/>
    </row>
    <row r="24" spans="1:31" ht="32.25" customHeight="1">
      <c r="G24" s="74"/>
      <c r="I24" s="74"/>
      <c r="K24" s="69"/>
      <c r="M24" s="75"/>
      <c r="N24" s="74"/>
      <c r="T24" s="61"/>
    </row>
    <row r="25" spans="1:31" ht="32.25" customHeight="1">
      <c r="A25" s="66" t="s">
        <v>78</v>
      </c>
      <c r="H25" s="69"/>
      <c r="N25" s="69"/>
      <c r="O25" s="69"/>
      <c r="P25" s="16"/>
    </row>
  </sheetData>
  <sheetProtection sheet="1" selectLockedCells="1"/>
  <mergeCells count="9">
    <mergeCell ref="Q12:Q13"/>
    <mergeCell ref="I14:I15"/>
    <mergeCell ref="O14:O15"/>
    <mergeCell ref="I18:I19"/>
    <mergeCell ref="G23:G24"/>
    <mergeCell ref="I23:I24"/>
    <mergeCell ref="M23:M24"/>
    <mergeCell ref="N23:N24"/>
    <mergeCell ref="A10:P10"/>
  </mergeCells>
  <phoneticPr fontId="1"/>
  <dataValidations count="4">
    <dataValidation type="list" allowBlank="1" showInputMessage="1" showErrorMessage="1" sqref="F18 F22" xr:uid="{157F4A58-F629-456C-94EF-6B17F5315167}">
      <formula1>$AD$9:$AD$18</formula1>
    </dataValidation>
    <dataValidation type="list" allowBlank="1" showInputMessage="1" showErrorMessage="1" sqref="F13" xr:uid="{F0F8A196-62B3-42B3-A7B8-D1A7413FB83B}">
      <formula1>$X$9:$X$18</formula1>
    </dataValidation>
    <dataValidation type="list" allowBlank="1" showInputMessage="1" showErrorMessage="1" sqref="J13 J22 J18" xr:uid="{989A4151-F0F1-41AC-B446-A8677EB9C54C}">
      <formula1>$Z$9:$Z$14</formula1>
    </dataValidation>
    <dataValidation type="list" allowBlank="1" showInputMessage="1" showErrorMessage="1" sqref="H13 H18 H22" xr:uid="{26EF32E8-76B7-44A4-88B0-6647FBF329F4}">
      <formula1>"0.5,1,1.5,2,2.5,3,3.5,4,4.5,5,5.5,6"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portrait" cellComments="asDisplayed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7"/>
  <sheetViews>
    <sheetView topLeftCell="A19" zoomScale="70" zoomScaleNormal="70" workbookViewId="0">
      <selection activeCell="T25" sqref="T25"/>
    </sheetView>
  </sheetViews>
  <sheetFormatPr defaultColWidth="9" defaultRowHeight="13.5"/>
  <cols>
    <col min="1" max="1" width="4.875" style="1" customWidth="1"/>
    <col min="2" max="2" width="9" style="1"/>
    <col min="3" max="3" width="14" style="1" customWidth="1"/>
    <col min="4" max="4" width="9" style="1" customWidth="1"/>
    <col min="5" max="5" width="12.625" style="1" customWidth="1"/>
    <col min="6" max="6" width="39.125" style="1" customWidth="1"/>
    <col min="7" max="7" width="4.5" style="1" customWidth="1"/>
    <col min="8" max="8" width="40.125" style="1" customWidth="1"/>
    <col min="9" max="9" width="8" style="1" customWidth="1"/>
    <col min="10" max="10" width="38.625" style="1" customWidth="1"/>
    <col min="11" max="11" width="8" style="25" customWidth="1"/>
    <col min="12" max="12" width="16" style="1" customWidth="1"/>
    <col min="13" max="13" width="6.5" style="1" customWidth="1"/>
    <col min="14" max="14" width="11.625" style="1" customWidth="1"/>
    <col min="15" max="15" width="5.5" style="1" customWidth="1"/>
    <col min="16" max="16" width="8.25" style="1" customWidth="1"/>
    <col min="17" max="17" width="7.625" style="1" customWidth="1"/>
    <col min="18" max="18" width="13.375" style="1" customWidth="1"/>
    <col min="19" max="19" width="6.5" style="1" customWidth="1"/>
    <col min="20" max="20" width="14" style="1" customWidth="1"/>
    <col min="21" max="21" width="9" style="1"/>
    <col min="22" max="22" width="26.75" style="1" hidden="1" customWidth="1"/>
    <col min="23" max="23" width="9" style="1" hidden="1" customWidth="1"/>
    <col min="24" max="24" width="19.25" style="1" hidden="1" customWidth="1"/>
    <col min="25" max="25" width="12" style="1" hidden="1" customWidth="1"/>
    <col min="26" max="26" width="9" style="1" hidden="1" customWidth="1"/>
    <col min="27" max="27" width="10" style="1" hidden="1" customWidth="1"/>
    <col min="28" max="28" width="28" style="1" hidden="1" customWidth="1"/>
    <col min="29" max="29" width="11.125" style="1" hidden="1" customWidth="1"/>
    <col min="30" max="16384" width="9" style="1"/>
  </cols>
  <sheetData>
    <row r="1" spans="1:29" ht="38.25" customHeight="1">
      <c r="A1" s="40" t="s">
        <v>26</v>
      </c>
    </row>
    <row r="2" spans="1:29" ht="42.75" customHeight="1">
      <c r="A2" s="40" t="s">
        <v>56</v>
      </c>
    </row>
    <row r="3" spans="1:29" ht="15" hidden="1" customHeight="1"/>
    <row r="4" spans="1:29" ht="6.75" hidden="1" customHeight="1"/>
    <row r="5" spans="1:29" ht="6" hidden="1" customHeight="1"/>
    <row r="6" spans="1:29" ht="24.95" hidden="1" customHeight="1">
      <c r="J6" s="2"/>
    </row>
    <row r="7" spans="1:29" ht="24.95" customHeight="1" thickBot="1">
      <c r="E7" s="3"/>
      <c r="F7" s="4" t="s">
        <v>37</v>
      </c>
      <c r="G7" s="99" t="s">
        <v>0</v>
      </c>
      <c r="H7" s="79">
        <v>0.5</v>
      </c>
      <c r="I7" s="74"/>
      <c r="J7"/>
      <c r="K7" s="75"/>
      <c r="L7" s="22"/>
      <c r="M7" s="74" t="s">
        <v>20</v>
      </c>
      <c r="N7" s="1" t="s">
        <v>3</v>
      </c>
      <c r="V7" s="1" t="s">
        <v>49</v>
      </c>
      <c r="W7" s="1" t="s">
        <v>10</v>
      </c>
      <c r="X7" s="1" t="s">
        <v>15</v>
      </c>
      <c r="Y7" s="1" t="s">
        <v>14</v>
      </c>
      <c r="Z7" s="1" t="s">
        <v>19</v>
      </c>
      <c r="AB7" s="1" t="s">
        <v>46</v>
      </c>
      <c r="AC7" s="1" t="s">
        <v>10</v>
      </c>
    </row>
    <row r="8" spans="1:29" ht="24.95" customHeight="1">
      <c r="A8" s="82" t="s">
        <v>45</v>
      </c>
      <c r="B8" s="83"/>
      <c r="C8" s="84"/>
      <c r="E8" s="3"/>
      <c r="F8" s="19"/>
      <c r="G8" s="99"/>
      <c r="H8" s="79"/>
      <c r="I8" s="74"/>
      <c r="J8" s="23"/>
      <c r="K8" s="75"/>
      <c r="L8" s="22"/>
      <c r="M8" s="74"/>
      <c r="N8" s="5">
        <f>ROUNDDOWN(F8*H7,-2)</f>
        <v>0</v>
      </c>
      <c r="V8" s="6" t="s">
        <v>27</v>
      </c>
      <c r="W8" s="7">
        <v>35000</v>
      </c>
      <c r="X8" s="6" t="s">
        <v>16</v>
      </c>
      <c r="Y8" s="7">
        <v>0</v>
      </c>
      <c r="Z8" s="1">
        <v>12</v>
      </c>
      <c r="AA8" s="8">
        <f>12/12</f>
        <v>1</v>
      </c>
      <c r="AB8" s="6" t="s">
        <v>27</v>
      </c>
      <c r="AC8" s="7">
        <f t="shared" ref="AC8:AC17" si="0">W8*12</f>
        <v>420000</v>
      </c>
    </row>
    <row r="9" spans="1:29" ht="24.95" customHeight="1" thickBot="1">
      <c r="A9" s="85"/>
      <c r="B9" s="86"/>
      <c r="C9" s="87"/>
      <c r="R9" s="34" t="s">
        <v>48</v>
      </c>
      <c r="V9" s="6" t="s">
        <v>28</v>
      </c>
      <c r="W9" s="7">
        <v>41000</v>
      </c>
      <c r="X9" s="6" t="s">
        <v>31</v>
      </c>
      <c r="Y9" s="7">
        <v>90000</v>
      </c>
      <c r="Z9" s="1">
        <v>11</v>
      </c>
      <c r="AA9" s="1">
        <f>11/12</f>
        <v>0.91666666666666663</v>
      </c>
      <c r="AB9" s="6" t="s">
        <v>28</v>
      </c>
      <c r="AC9" s="7">
        <f t="shared" si="0"/>
        <v>492000</v>
      </c>
    </row>
    <row r="10" spans="1:29" ht="24.95" customHeight="1" thickTop="1" thickBot="1">
      <c r="A10" s="85"/>
      <c r="B10" s="86"/>
      <c r="C10" s="87"/>
      <c r="F10" s="1" t="s">
        <v>42</v>
      </c>
      <c r="H10" s="1" t="s">
        <v>43</v>
      </c>
      <c r="J10" s="1" t="s">
        <v>44</v>
      </c>
      <c r="R10" s="39" t="e">
        <f>MIN(N8,N13)</f>
        <v>#N/A</v>
      </c>
      <c r="V10" s="6" t="s">
        <v>29</v>
      </c>
      <c r="W10" s="7">
        <v>44000</v>
      </c>
      <c r="X10" s="6" t="s">
        <v>32</v>
      </c>
      <c r="Y10" s="7">
        <v>250000</v>
      </c>
      <c r="Z10" s="1">
        <v>10</v>
      </c>
      <c r="AA10" s="1">
        <f>10/12</f>
        <v>0.83333333333333337</v>
      </c>
      <c r="AB10" s="6" t="s">
        <v>29</v>
      </c>
      <c r="AC10" s="7">
        <f t="shared" si="0"/>
        <v>528000</v>
      </c>
    </row>
    <row r="11" spans="1:29" ht="6.75" customHeight="1" thickTop="1" thickBot="1">
      <c r="A11" s="88"/>
      <c r="B11" s="89"/>
      <c r="C11" s="90"/>
      <c r="F11" s="2"/>
      <c r="H11" s="2"/>
      <c r="J11" s="2"/>
      <c r="M11" s="2"/>
      <c r="V11" s="6" t="s">
        <v>30</v>
      </c>
      <c r="W11" s="7">
        <v>54000</v>
      </c>
      <c r="X11" s="6" t="s">
        <v>23</v>
      </c>
      <c r="Y11" s="7">
        <v>200000</v>
      </c>
      <c r="Z11" s="1">
        <v>9</v>
      </c>
      <c r="AA11" s="8">
        <f>9/12</f>
        <v>0.75</v>
      </c>
      <c r="AB11" s="6" t="s">
        <v>30</v>
      </c>
      <c r="AC11" s="7">
        <f t="shared" si="0"/>
        <v>648000</v>
      </c>
    </row>
    <row r="12" spans="1:29" ht="24.95" customHeight="1" thickTop="1" thickBot="1">
      <c r="E12" s="3"/>
      <c r="F12" s="29"/>
      <c r="G12" s="74" t="s">
        <v>0</v>
      </c>
      <c r="H12" s="80"/>
      <c r="I12" s="74" t="s">
        <v>17</v>
      </c>
      <c r="J12" s="30" t="s">
        <v>16</v>
      </c>
      <c r="K12" s="75" t="s">
        <v>0</v>
      </c>
      <c r="L12" s="74">
        <v>0.05</v>
      </c>
      <c r="M12" s="74" t="s">
        <v>21</v>
      </c>
      <c r="N12" s="1" t="s">
        <v>22</v>
      </c>
      <c r="V12" s="6" t="s">
        <v>4</v>
      </c>
      <c r="W12" s="7">
        <v>43000</v>
      </c>
      <c r="X12" s="6" t="s">
        <v>24</v>
      </c>
      <c r="Y12" s="7">
        <v>90000</v>
      </c>
      <c r="Z12" s="1">
        <v>8</v>
      </c>
      <c r="AA12" s="1">
        <f>8/12</f>
        <v>0.66666666666666663</v>
      </c>
      <c r="AB12" s="6" t="s">
        <v>4</v>
      </c>
      <c r="AC12" s="7">
        <f t="shared" si="0"/>
        <v>516000</v>
      </c>
    </row>
    <row r="13" spans="1:29" ht="24.95" customHeight="1" thickTop="1" thickBot="1">
      <c r="E13" s="3"/>
      <c r="F13" s="9" t="e">
        <f>VLOOKUP(F12,$AB$8:$AC$17,2,FALSE)</f>
        <v>#N/A</v>
      </c>
      <c r="G13" s="74"/>
      <c r="H13" s="81"/>
      <c r="I13" s="74"/>
      <c r="J13" s="9">
        <f>VLOOKUP(J12,$X$8:$Y$13,2,FALSE)</f>
        <v>0</v>
      </c>
      <c r="K13" s="75"/>
      <c r="L13" s="74"/>
      <c r="M13" s="74"/>
      <c r="N13" s="18" t="e">
        <f>MIN(ROUNDDOWN((F13*H12+J13)*L12,-2),142100)</f>
        <v>#N/A</v>
      </c>
      <c r="V13" s="6" t="s">
        <v>5</v>
      </c>
      <c r="W13" s="7">
        <v>50000</v>
      </c>
      <c r="X13" s="6" t="s">
        <v>25</v>
      </c>
      <c r="Y13" s="7">
        <v>200000</v>
      </c>
      <c r="Z13" s="1">
        <v>7</v>
      </c>
      <c r="AA13" s="1">
        <f>7/12</f>
        <v>0.58333333333333337</v>
      </c>
      <c r="AB13" s="6" t="s">
        <v>5</v>
      </c>
      <c r="AC13" s="7">
        <f t="shared" si="0"/>
        <v>600000</v>
      </c>
    </row>
    <row r="14" spans="1:29" ht="25.5" customHeight="1" thickTop="1">
      <c r="E14" s="3"/>
      <c r="F14" s="4"/>
      <c r="G14" s="10"/>
      <c r="H14"/>
      <c r="I14" s="10"/>
      <c r="J14" s="3"/>
      <c r="L14" s="3"/>
      <c r="M14" s="3"/>
      <c r="N14" s="1" t="s">
        <v>33</v>
      </c>
      <c r="O14" s="10"/>
      <c r="P14" s="4"/>
      <c r="V14" s="6" t="s">
        <v>6</v>
      </c>
      <c r="W14" s="7">
        <v>35000</v>
      </c>
      <c r="Y14" s="7"/>
      <c r="Z14" s="1">
        <v>6</v>
      </c>
      <c r="AA14" s="1">
        <f>6/12</f>
        <v>0.5</v>
      </c>
      <c r="AB14" s="6" t="s">
        <v>6</v>
      </c>
      <c r="AC14" s="7">
        <f t="shared" si="0"/>
        <v>420000</v>
      </c>
    </row>
    <row r="15" spans="1:29" s="11" customFormat="1" ht="13.5" customHeight="1" thickBot="1">
      <c r="E15" s="12"/>
      <c r="G15" s="13"/>
      <c r="I15" s="13"/>
      <c r="J15" s="12"/>
      <c r="K15" s="26"/>
      <c r="L15" s="12"/>
      <c r="M15" s="12"/>
      <c r="N15" s="13"/>
      <c r="O15" s="13"/>
      <c r="V15" s="14" t="s">
        <v>7</v>
      </c>
      <c r="W15" s="15">
        <v>41000</v>
      </c>
      <c r="X15" s="14"/>
      <c r="Y15" s="15"/>
      <c r="Z15" s="11">
        <v>5</v>
      </c>
      <c r="AA15" s="11">
        <f>5/12</f>
        <v>0.41666666666666669</v>
      </c>
      <c r="AB15" s="14" t="s">
        <v>7</v>
      </c>
      <c r="AC15" s="7">
        <f t="shared" si="0"/>
        <v>492000</v>
      </c>
    </row>
    <row r="16" spans="1:29" s="4" customFormat="1" ht="24.95" customHeight="1">
      <c r="E16" s="16"/>
      <c r="G16" s="17"/>
      <c r="I16" s="17"/>
      <c r="J16" s="16"/>
      <c r="K16" s="27"/>
      <c r="L16" s="16"/>
      <c r="M16" s="16"/>
      <c r="N16" s="17"/>
      <c r="O16" s="17"/>
      <c r="V16" s="6" t="s">
        <v>8</v>
      </c>
      <c r="W16" s="7">
        <v>43000</v>
      </c>
      <c r="X16" s="6"/>
      <c r="Y16" s="7"/>
      <c r="Z16" s="1">
        <v>4</v>
      </c>
      <c r="AA16" s="1">
        <f>4/12</f>
        <v>0.33333333333333331</v>
      </c>
      <c r="AB16" s="6" t="s">
        <v>8</v>
      </c>
      <c r="AC16" s="7">
        <f t="shared" si="0"/>
        <v>516000</v>
      </c>
    </row>
    <row r="17" spans="1:29" ht="24.95" customHeight="1">
      <c r="O17" s="74"/>
      <c r="V17" s="6" t="s">
        <v>9</v>
      </c>
      <c r="W17" s="7">
        <v>50000</v>
      </c>
      <c r="X17" s="6"/>
      <c r="Y17" s="7"/>
      <c r="Z17" s="1">
        <v>3</v>
      </c>
      <c r="AA17" s="1">
        <f>3/12</f>
        <v>0.25</v>
      </c>
      <c r="AB17" s="6" t="s">
        <v>9</v>
      </c>
      <c r="AC17" s="7">
        <f t="shared" si="0"/>
        <v>600000</v>
      </c>
    </row>
    <row r="18" spans="1:29" ht="28.5" customHeight="1">
      <c r="J18" s="4"/>
      <c r="O18" s="74"/>
      <c r="Z18" s="1">
        <v>2</v>
      </c>
      <c r="AA18" s="1">
        <f>2/12</f>
        <v>0.16666666666666666</v>
      </c>
    </row>
    <row r="19" spans="1:29" ht="31.5" customHeight="1" thickBot="1">
      <c r="F19" s="28" t="s">
        <v>38</v>
      </c>
      <c r="G19" s="99" t="s">
        <v>0</v>
      </c>
      <c r="H19" s="79">
        <v>0.5</v>
      </c>
      <c r="I19" s="74" t="s">
        <v>17</v>
      </c>
      <c r="J19" s="28" t="s">
        <v>36</v>
      </c>
      <c r="K19" s="75" t="s">
        <v>0</v>
      </c>
      <c r="L19" s="79">
        <v>0.5</v>
      </c>
      <c r="M19" s="74" t="s">
        <v>2</v>
      </c>
      <c r="N19" s="1" t="s">
        <v>3</v>
      </c>
      <c r="Z19" s="1">
        <v>1</v>
      </c>
      <c r="AA19" s="1">
        <f>1/12</f>
        <v>8.3333333333333329E-2</v>
      </c>
    </row>
    <row r="20" spans="1:29" ht="32.25" customHeight="1">
      <c r="A20" s="82" t="s">
        <v>50</v>
      </c>
      <c r="B20" s="91"/>
      <c r="C20" s="92"/>
      <c r="F20" s="20"/>
      <c r="G20" s="99"/>
      <c r="H20" s="79"/>
      <c r="I20" s="74"/>
      <c r="J20" s="41">
        <v>163423</v>
      </c>
      <c r="K20" s="75"/>
      <c r="L20" s="79"/>
      <c r="M20" s="74"/>
      <c r="N20" s="18">
        <f>ROUNDDOWN((F20*0.5)+(J20*0.5),-2)</f>
        <v>81700</v>
      </c>
    </row>
    <row r="21" spans="1:29" ht="27" customHeight="1">
      <c r="A21" s="93"/>
      <c r="B21" s="94"/>
      <c r="C21" s="95"/>
    </row>
    <row r="22" spans="1:29" ht="27.75" customHeight="1">
      <c r="A22" s="93"/>
      <c r="B22" s="94"/>
      <c r="C22" s="95"/>
      <c r="J22" s="3"/>
      <c r="L22" s="3"/>
    </row>
    <row r="23" spans="1:29" ht="51" customHeight="1" thickBot="1">
      <c r="A23" s="96"/>
      <c r="B23" s="97"/>
      <c r="C23" s="98"/>
      <c r="F23" s="35" t="s">
        <v>51</v>
      </c>
      <c r="I23" s="74" t="s">
        <v>17</v>
      </c>
      <c r="J23" s="28" t="s">
        <v>52</v>
      </c>
      <c r="K23" s="75" t="s">
        <v>0</v>
      </c>
      <c r="L23" s="74">
        <v>0.05</v>
      </c>
      <c r="M23" s="74" t="s">
        <v>1</v>
      </c>
      <c r="N23" s="3" t="s">
        <v>12</v>
      </c>
    </row>
    <row r="24" spans="1:29" ht="32.25" customHeight="1" thickBot="1">
      <c r="F24" s="20">
        <v>432000</v>
      </c>
      <c r="I24" s="74"/>
      <c r="J24" s="21"/>
      <c r="K24" s="75"/>
      <c r="L24" s="74"/>
      <c r="M24" s="74"/>
      <c r="N24" s="18">
        <f>ROUNDDOWN((F24+J24)*L23,-2)</f>
        <v>21600</v>
      </c>
      <c r="T24" s="34" t="s">
        <v>47</v>
      </c>
    </row>
    <row r="25" spans="1:29" ht="37.5" customHeight="1" thickTop="1" thickBot="1">
      <c r="H25"/>
      <c r="T25" s="38">
        <f>MIN(N20,R28)</f>
        <v>21600</v>
      </c>
    </row>
    <row r="26" spans="1:29" ht="57.75" customHeight="1" thickTop="1" thickBot="1">
      <c r="F26" s="36" t="s">
        <v>54</v>
      </c>
      <c r="H26" s="36" t="s">
        <v>53</v>
      </c>
      <c r="J26" s="36" t="s">
        <v>55</v>
      </c>
    </row>
    <row r="27" spans="1:29" ht="24.95" customHeight="1" thickTop="1" thickBot="1">
      <c r="F27" s="29" t="s">
        <v>30</v>
      </c>
      <c r="G27" s="74" t="s">
        <v>0</v>
      </c>
      <c r="H27" s="80">
        <v>4</v>
      </c>
      <c r="I27" s="74" t="s">
        <v>18</v>
      </c>
      <c r="J27" s="30" t="s">
        <v>16</v>
      </c>
      <c r="K27" s="75"/>
      <c r="L27" s="74"/>
      <c r="R27" s="1" t="s">
        <v>11</v>
      </c>
    </row>
    <row r="28" spans="1:29" ht="24.95" customHeight="1" thickTop="1" thickBot="1">
      <c r="F28" s="9">
        <f>VLOOKUP(F27,$AB$8:$AC$17,2,FALSE)</f>
        <v>648000</v>
      </c>
      <c r="G28" s="74"/>
      <c r="H28" s="81"/>
      <c r="I28" s="74"/>
      <c r="J28" s="9">
        <f>VLOOKUP(J27,$X$8:$Y$13,2,FALSE)</f>
        <v>0</v>
      </c>
      <c r="K28" s="75"/>
      <c r="L28" s="74"/>
      <c r="R28" s="18">
        <f>MIN(N24,N30)</f>
        <v>21600</v>
      </c>
    </row>
    <row r="29" spans="1:29" ht="27" customHeight="1" thickTop="1">
      <c r="H29" s="24" t="s">
        <v>35</v>
      </c>
      <c r="K29" s="75" t="s">
        <v>0</v>
      </c>
      <c r="L29" s="74">
        <v>0.05</v>
      </c>
      <c r="M29" s="74" t="s">
        <v>1</v>
      </c>
      <c r="N29" s="16" t="s">
        <v>13</v>
      </c>
    </row>
    <row r="30" spans="1:29" ht="32.25" customHeight="1" thickBot="1">
      <c r="F30" s="37" t="s">
        <v>39</v>
      </c>
      <c r="H30" s="37" t="s">
        <v>40</v>
      </c>
      <c r="J30" s="37" t="s">
        <v>41</v>
      </c>
      <c r="K30" s="75"/>
      <c r="L30" s="74"/>
      <c r="M30" s="74"/>
      <c r="N30" s="18">
        <f>MIN(ROUNDDOWN(((F28*H27+J28)+(F32*H31+J32))*L29,-2),142100)</f>
        <v>142100</v>
      </c>
    </row>
    <row r="31" spans="1:29" ht="24.95" customHeight="1" thickTop="1" thickBot="1">
      <c r="F31" s="32" t="s">
        <v>30</v>
      </c>
      <c r="H31" s="77">
        <v>2</v>
      </c>
      <c r="I31" s="74" t="s">
        <v>17</v>
      </c>
      <c r="J31" s="33"/>
      <c r="N31" s="1" t="s">
        <v>34</v>
      </c>
    </row>
    <row r="32" spans="1:29" ht="24.95" customHeight="1" thickTop="1" thickBot="1">
      <c r="F32" s="31">
        <f>IFERROR(VLOOKUP(F31,$AB$8:$AC$17,2,FALSE),"0")</f>
        <v>648000</v>
      </c>
      <c r="H32" s="78"/>
      <c r="I32" s="74"/>
      <c r="J32" s="31" t="str">
        <f>IFERROR(VLOOKUP(J31,$X$8:$Y$13,2,FALSE),"0")</f>
        <v>0</v>
      </c>
    </row>
    <row r="33" spans="5:13" ht="24.95" customHeight="1" thickTop="1">
      <c r="E33" s="24"/>
    </row>
    <row r="34" spans="5:13" ht="24.95" customHeight="1">
      <c r="E34" s="74"/>
      <c r="K34" s="75"/>
      <c r="L34" s="74"/>
      <c r="M34" s="74"/>
    </row>
    <row r="35" spans="5:13" ht="24.95" customHeight="1">
      <c r="E35" s="74"/>
      <c r="K35" s="75"/>
      <c r="L35" s="74"/>
      <c r="M35" s="74"/>
    </row>
    <row r="36" spans="5:13" ht="24.95" customHeight="1"/>
    <row r="37" spans="5:13" ht="24.95" customHeight="1"/>
  </sheetData>
  <sheetProtection selectLockedCells="1"/>
  <mergeCells count="38">
    <mergeCell ref="A8:C11"/>
    <mergeCell ref="A20:C23"/>
    <mergeCell ref="I12:I13"/>
    <mergeCell ref="H12:H13"/>
    <mergeCell ref="K23:K24"/>
    <mergeCell ref="K7:K8"/>
    <mergeCell ref="I7:I8"/>
    <mergeCell ref="K19:K20"/>
    <mergeCell ref="G7:G8"/>
    <mergeCell ref="H7:H8"/>
    <mergeCell ref="G12:G13"/>
    <mergeCell ref="G19:G20"/>
    <mergeCell ref="O17:O18"/>
    <mergeCell ref="H27:H28"/>
    <mergeCell ref="I23:I24"/>
    <mergeCell ref="L23:L24"/>
    <mergeCell ref="M23:M24"/>
    <mergeCell ref="I19:I20"/>
    <mergeCell ref="H19:H20"/>
    <mergeCell ref="M19:M20"/>
    <mergeCell ref="K27:K28"/>
    <mergeCell ref="G27:G28"/>
    <mergeCell ref="I27:I28"/>
    <mergeCell ref="M34:M35"/>
    <mergeCell ref="M7:M8"/>
    <mergeCell ref="K12:K13"/>
    <mergeCell ref="L12:L13"/>
    <mergeCell ref="M12:M13"/>
    <mergeCell ref="L19:L20"/>
    <mergeCell ref="L27:L28"/>
    <mergeCell ref="M29:M30"/>
    <mergeCell ref="E34:E35"/>
    <mergeCell ref="K29:K30"/>
    <mergeCell ref="L29:L30"/>
    <mergeCell ref="H31:H32"/>
    <mergeCell ref="I31:I32"/>
    <mergeCell ref="K34:K35"/>
    <mergeCell ref="L34:L35"/>
  </mergeCells>
  <phoneticPr fontId="1"/>
  <dataValidations count="5">
    <dataValidation type="list" allowBlank="1" showInputMessage="1" showErrorMessage="1" sqref="H15:H16" xr:uid="{00000000-0002-0000-0000-000000000000}">
      <formula1>"1,2,3,4,5,6"</formula1>
    </dataValidation>
    <dataValidation type="list" allowBlank="1" showInputMessage="1" showErrorMessage="1" sqref="J27 J12 J31" xr:uid="{00000000-0002-0000-0000-000001000000}">
      <formula1>$X$8:$X$13</formula1>
    </dataValidation>
    <dataValidation type="list" allowBlank="1" showInputMessage="1" showErrorMessage="1" sqref="F27 F12" xr:uid="{00000000-0002-0000-0000-000002000000}">
      <formula1>$V$8:$V$17</formula1>
    </dataValidation>
    <dataValidation type="list" allowBlank="1" showInputMessage="1" showErrorMessage="1" sqref="H12:H13 H31:H32 H27:H28" xr:uid="{00000000-0002-0000-0000-000003000000}">
      <formula1>"0.5,1,1.5,2,2.5,3,3.5,4,4.5,5,5.5,6"</formula1>
    </dataValidation>
    <dataValidation type="list" allowBlank="1" showInputMessage="1" showErrorMessage="1" sqref="F31" xr:uid="{A3E70D99-C632-4AC1-B279-0AB58D9E7BFB}">
      <formula1>$AB$8:$AB$17</formula1>
    </dataValidation>
  </dataValidations>
  <pageMargins left="0.23622047244094491" right="0.23622047244094491" top="0.74803149606299213" bottom="0.74803149606299213" header="0.31496062992125984" footer="0.31496062992125984"/>
  <pageSetup paperSize="9" scale="46" fitToHeight="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補助金額シミュレータ</vt:lpstr>
      <vt:lpstr>入力例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2023-03-07T23:41:25Z</cp:lastPrinted>
  <dcterms:created xsi:type="dcterms:W3CDTF">2021-04-27T06:34:16Z</dcterms:created>
  <dcterms:modified xsi:type="dcterms:W3CDTF">2025-05-13T02:18:13Z</dcterms:modified>
</cp:coreProperties>
</file>